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3660" windowWidth="16995" windowHeight="3705" tabRatio="676" firstSheet="1" activeTab="3"/></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G17" i="1" l="1"/>
  <c r="G53" i="1" l="1"/>
  <c r="J67" i="1" l="1"/>
  <c r="I65" i="1" l="1"/>
  <c r="I62" i="1"/>
  <c r="G62" i="1"/>
  <c r="J61" i="1"/>
  <c r="I61" i="1"/>
  <c r="I67" i="1"/>
  <c r="J63" i="1"/>
  <c r="J64" i="1"/>
  <c r="J65" i="1"/>
  <c r="J62" i="1"/>
  <c r="I64" i="1"/>
  <c r="I63" i="1"/>
  <c r="G63" i="1"/>
  <c r="J50" i="1" l="1"/>
  <c r="H50" i="1"/>
  <c r="J46" i="1"/>
  <c r="H46" i="1"/>
  <c r="J23" i="1"/>
  <c r="H23" i="1"/>
  <c r="G20" i="1"/>
  <c r="J20" i="1"/>
  <c r="H20" i="1"/>
  <c r="J18" i="1"/>
  <c r="H18" i="1"/>
  <c r="G18" i="1"/>
  <c r="J17" i="1"/>
  <c r="H17" i="1"/>
  <c r="J16" i="1"/>
  <c r="G16" i="1"/>
  <c r="H16" i="1"/>
  <c r="J15" i="1" l="1"/>
  <c r="G15" i="1"/>
  <c r="H15" i="1"/>
  <c r="J14" i="1"/>
  <c r="I14" i="1"/>
  <c r="H14" i="1"/>
  <c r="G14" i="1"/>
  <c r="M96" i="1" l="1"/>
  <c r="L96" i="1"/>
  <c r="K96" i="1"/>
  <c r="E215" i="2"/>
  <c r="E214" i="2"/>
  <c r="E213" i="2"/>
  <c r="H213" i="2"/>
  <c r="I213" i="2"/>
  <c r="K213" i="2"/>
  <c r="L213" i="2"/>
  <c r="G214" i="2"/>
  <c r="H214" i="2"/>
  <c r="I214" i="2"/>
  <c r="K214" i="2"/>
  <c r="L214" i="2"/>
  <c r="H215" i="2"/>
  <c r="I215" i="2"/>
  <c r="K215" i="2"/>
  <c r="L215"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02" i="1"/>
  <c r="H102" i="1"/>
  <c r="I102" i="1"/>
  <c r="J102" i="1"/>
  <c r="L87" i="1"/>
  <c r="M87" i="1"/>
  <c r="L82" i="1"/>
  <c r="M82" i="1"/>
  <c r="L75" i="1"/>
  <c r="M75" i="1"/>
  <c r="L57" i="1"/>
  <c r="M57" i="1"/>
  <c r="L50" i="1"/>
  <c r="M50" i="1"/>
  <c r="L39" i="1"/>
  <c r="M39" i="1"/>
  <c r="L33" i="1"/>
  <c r="M33" i="1"/>
  <c r="L28" i="1"/>
  <c r="M28" i="1"/>
  <c r="L14" i="1"/>
  <c r="M14" i="1"/>
  <c r="K87" i="1"/>
  <c r="K82" i="1"/>
  <c r="K75" i="1"/>
  <c r="K57" i="1"/>
  <c r="K50" i="1"/>
  <c r="K39" i="1"/>
  <c r="K33" i="1"/>
  <c r="K28"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S17" i="8"/>
  <c r="R17" i="8"/>
  <c r="Q17" i="8"/>
  <c r="P17" i="8"/>
  <c r="O17" i="8"/>
  <c r="N17" i="8"/>
  <c r="L17" i="8"/>
  <c r="K17" i="8"/>
  <c r="J17" i="8"/>
  <c r="I17" i="8"/>
  <c r="H17" i="8"/>
  <c r="G17" i="8"/>
  <c r="E17" i="8"/>
  <c r="D17" i="8"/>
  <c r="C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2" i="1"/>
  <c r="K102" i="1"/>
  <c r="M102" i="1"/>
  <c r="A89" i="2"/>
  <c r="B52" i="1" s="1"/>
  <c r="A87" i="2"/>
  <c r="B50"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9" i="1" s="1"/>
  <c r="A82" i="2"/>
  <c r="B43" i="1" s="1"/>
  <c r="A78" i="2"/>
  <c r="B3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4" i="1" s="1"/>
  <c r="A79" i="2"/>
  <c r="B40" i="1" s="1"/>
  <c r="A75" i="2"/>
  <c r="B34"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5" i="1" s="1"/>
  <c r="A80" i="2"/>
  <c r="B41" i="1" s="1"/>
  <c r="A76" i="2"/>
  <c r="B35"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6" i="1" s="1"/>
  <c r="A81" i="2"/>
  <c r="B42" i="1" s="1"/>
  <c r="A77" i="2"/>
  <c r="B38" i="1" s="1"/>
  <c r="A74" i="2"/>
  <c r="A70" i="2"/>
  <c r="A66" i="2"/>
  <c r="A62" i="2"/>
  <c r="A57" i="2"/>
  <c r="A50" i="2"/>
  <c r="B7" i="8" s="1"/>
  <c r="A46" i="2"/>
  <c r="A42" i="2"/>
  <c r="A36" i="2"/>
  <c r="A32" i="2"/>
  <c r="A28" i="2"/>
  <c r="A24" i="2"/>
  <c r="A20" i="2"/>
  <c r="A16" i="2"/>
  <c r="A12" i="2"/>
  <c r="A8" i="2"/>
  <c r="G2" i="3"/>
  <c r="E2" i="1"/>
  <c r="J2" i="4"/>
  <c r="B47" i="1" l="1"/>
  <c r="B93" i="1"/>
  <c r="B84" i="1"/>
  <c r="B79" i="1"/>
  <c r="B30" i="1"/>
  <c r="B72" i="1"/>
  <c r="B54" i="1"/>
  <c r="B36" i="1"/>
  <c r="B25"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C17" i="4"/>
  <c r="D17" i="4"/>
  <c r="E17" i="4"/>
  <c r="G17" i="4"/>
  <c r="H17" i="4"/>
  <c r="I17" i="4"/>
  <c r="J17" i="4"/>
  <c r="K17" i="4"/>
  <c r="L17" i="4"/>
  <c r="N17" i="4"/>
  <c r="O17" i="4"/>
  <c r="P17" i="4"/>
  <c r="Q17" i="4"/>
  <c r="R17" i="4"/>
  <c r="S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Y79" i="8" s="1"/>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U17" i="4" l="1"/>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1" i="1" l="1"/>
  <c r="B33" i="1"/>
  <c r="B82" i="4"/>
  <c r="B20" i="1"/>
  <c r="B32" i="1"/>
  <c r="B50" i="4"/>
  <c r="W58" i="4"/>
  <c r="B75" i="4"/>
  <c r="AB140" i="4"/>
  <c r="B18" i="1"/>
  <c r="B22" i="1"/>
  <c r="B28" i="1"/>
  <c r="O6" i="7"/>
  <c r="C56" i="4"/>
  <c r="W56" i="4"/>
  <c r="Y57" i="4"/>
  <c r="AD56" i="4"/>
  <c r="W130" i="4"/>
  <c r="G8" i="6"/>
  <c r="T4" i="7" s="1"/>
  <c r="B17" i="1"/>
  <c r="B27" i="1"/>
  <c r="B51" i="4"/>
  <c r="X58" i="4"/>
  <c r="U57" i="4"/>
  <c r="B91" i="4"/>
  <c r="F8" i="6"/>
  <c r="B14" i="1"/>
  <c r="B24" i="1"/>
  <c r="B55" i="4"/>
  <c r="T66" i="4"/>
  <c r="Z58" i="4"/>
  <c r="T57" i="4"/>
  <c r="B129" i="4"/>
  <c r="B13" i="4"/>
  <c r="B13" i="1"/>
  <c r="B19" i="1"/>
  <c r="B23" i="1"/>
  <c r="B2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T7" i="7"/>
  <c r="T143" i="8" s="1"/>
  <c r="N7" i="7"/>
  <c r="O7" i="7"/>
  <c r="H7" i="7"/>
  <c r="L114" i="4" s="1"/>
  <c r="Q7" i="7"/>
  <c r="Q135" i="4" s="1"/>
  <c r="J7" i="7"/>
  <c r="K7" i="7"/>
  <c r="E7" i="7"/>
  <c r="I113" i="4" s="1"/>
  <c r="D7" i="7"/>
  <c r="H96" i="4" s="1"/>
  <c r="F7" i="7"/>
  <c r="G7" i="7"/>
  <c r="M7" i="7"/>
  <c r="Q117" i="4" s="1"/>
  <c r="P143" i="4"/>
  <c r="P104"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71" i="1"/>
  <c r="B74" i="1"/>
  <c r="B75" i="1"/>
  <c r="B76" i="1"/>
  <c r="B77" i="1"/>
  <c r="B78" i="1"/>
  <c r="B81" i="1"/>
  <c r="B83" i="1"/>
  <c r="B86" i="1"/>
  <c r="B87" i="1"/>
  <c r="B88" i="1"/>
  <c r="B89" i="1"/>
  <c r="B90" i="1"/>
  <c r="B91" i="1"/>
  <c r="B92" i="1"/>
  <c r="B23" i="3"/>
  <c r="C105" i="1"/>
  <c r="B104" i="1"/>
  <c r="B102" i="1"/>
  <c r="B100" i="1"/>
  <c r="B99" i="1"/>
  <c r="B98" i="1"/>
  <c r="B97" i="1"/>
  <c r="B56" i="1"/>
  <c r="B57" i="1"/>
  <c r="B58" i="1"/>
  <c r="B59" i="1"/>
  <c r="B60" i="1"/>
  <c r="B61" i="1"/>
  <c r="B63" i="1"/>
  <c r="B64" i="1"/>
  <c r="B66" i="1"/>
  <c r="B67" i="1"/>
  <c r="B68" i="1"/>
  <c r="B69" i="1"/>
  <c r="B70" i="1"/>
  <c r="B82" i="1"/>
  <c r="B95" i="1"/>
  <c r="B96" i="1"/>
  <c r="R143" i="4" l="1"/>
  <c r="I143" i="4"/>
  <c r="R79" i="4"/>
  <c r="I79" i="4"/>
  <c r="B107"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<sst xmlns="http://schemas.openxmlformats.org/spreadsheetml/2006/main" count="1785" uniqueCount="1545">
  <si>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</si>
  <si>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</si>
  <si>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</si>
  <si>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</si>
  <si>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</si>
  <si>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</si>
  <si>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</si>
  <si>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</si>
  <si>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</si>
  <si>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</si>
  <si>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</si>
  <si>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</si>
  <si>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</si>
  <si>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</si>
  <si>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</si>
  <si>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</si>
  <si>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</si>
  <si>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</si>
  <si>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</si>
  <si>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</si>
  <si>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</si>
  <si>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</si>
  <si>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</si>
  <si>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</si>
  <si>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</si>
  <si>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</si>
  <si>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</si>
  <si>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</si>
  <si>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</si>
  <si>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</si>
  <si>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</si>
  <si>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</si>
  <si>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</si>
  <si>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</si>
  <si>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</si>
  <si>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</si>
  <si>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</si>
  <si>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</si>
  <si>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</si>
  <si>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</si>
  <si>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</si>
  <si>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</si>
  <si>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</si>
  <si>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</si>
  <si>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</si>
  <si>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</si>
  <si>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</si>
  <si>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</si>
  <si>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</si>
  <si>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</si>
  <si>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</si>
  <si>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</si>
  <si>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</si>
  <si>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</si>
  <si>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</si>
  <si>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</si>
  <si>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</si>
  <si>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</si>
  <si>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</si>
  <si>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</si>
  <si>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</si>
  <si>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</si>
  <si>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</si>
  <si>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</si>
  <si>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</si>
  <si>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</si>
  <si>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</si>
  <si>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</si>
  <si>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</si>
  <si>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</si>
  <si>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</si>
  <si>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</si>
  <si>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</si>
  <si>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</si>
  <si>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</si>
  <si>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</si>
  <si>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</si>
  <si>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</si>
  <si>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</si>
  <si>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</si>
  <si>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</si>
  <si>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</si>
  <si>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</si>
  <si>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</si>
  <si>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</si>
  <si>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</si>
  <si>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</si>
  <si>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</si>
  <si>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</si>
  <si>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</si>
  <si>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</si>
  <si>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</si>
  <si>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</si>
  <si>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</si>
  <si>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</si>
  <si>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</si>
  <si>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</si>
  <si>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</si>
  <si>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</si>
  <si>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</si>
  <si>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</si>
  <si>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</si>
  <si>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</si>
  <si>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</si>
  <si>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</si>
  <si>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</si>
  <si>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</si>
  <si>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</si>
  <si>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</si>
  <si>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</si>
  <si>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</si>
  <si>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</si>
  <si>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</si>
  <si>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</si>
  <si>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</si>
  <si>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</si>
  <si>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</si>
  <si>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</si>
  <si>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</si>
  <si>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</si>
  <si>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</si>
  <si>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</si>
  <si>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</si>
  <si>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</si>
  <si>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</si>
  <si>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</si>
  <si>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</si>
  <si>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</si>
  <si>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</si>
  <si>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</si>
  <si>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</si>
  <si>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</si>
  <si>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</si>
  <si>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</si>
  <si>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</si>
  <si>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</si>
  <si>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</si>
  <si>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</si>
  <si>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</si>
  <si>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</si>
  <si>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</si>
  <si>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</si>
  <si>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</si>
  <si>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</si>
  <si>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</si>
  <si>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</si>
  <si>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</si>
  <si>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</si>
  <si>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</si>
  <si>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</si>
  <si>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</si>
  <si>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</si>
  <si>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</si>
  <si>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</si>
  <si>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</si>
  <si>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</si>
  <si>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</si>
  <si>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</si>
  <si>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</si>
  <si>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</si>
  <si>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</si>
  <si>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</si>
  <si>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</si>
  <si>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</si>
  <si>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</si>
  <si>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</si>
  <si>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</si>
  <si>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</si>
  <si>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</si>
  <si>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</si>
  <si>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</si>
  <si>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</si>
  <si>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</si>
  <si>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</si>
  <si>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</si>
  <si>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</si>
  <si>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</si>
  <si>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</si>
  <si>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</si>
  <si>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</si>
  <si>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</si>
  <si>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</si>
  <si>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</si>
  <si>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</si>
  <si>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</si>
  <si>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</si>
  <si>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</si>
  <si>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</si>
  <si>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</si>
  <si>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</si>
  <si>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</si>
  <si>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</si>
  <si>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</si>
  <si>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</si>
  <si>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</si>
  <si>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</si>
  <si>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</si>
  <si>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</si>
  <si>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</si>
  <si>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</si>
  <si>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</si>
  <si>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</si>
  <si>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</si>
  <si>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</si>
  <si>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</si>
  <si>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</si>
  <si>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</si>
  <si>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</si>
  <si>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</si>
  <si>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</si>
  <si>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</si>
  <si>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</si>
  <si>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</si>
  <si>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</si>
  <si>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</si>
  <si>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</si>
  <si>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</si>
  <si>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</si>
  <si>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</si>
  <si>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</si>
  <si>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</si>
  <si>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</si>
  <si>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</si>
  <si>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</si>
  <si>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</si>
  <si>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</si>
  <si>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</si>
  <si>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</si>
  <si>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</si>
  <si>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</si>
  <si>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</si>
  <si>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</si>
  <si>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</si>
  <si>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</si>
  <si>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</si>
  <si>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</si>
  <si>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</si>
  <si>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</si>
  <si>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</si>
  <si>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</si>
  <si>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</si>
  <si>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</si>
  <si>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</si>
  <si>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</si>
  <si>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</si>
  <si>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</si>
  <si>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</si>
  <si>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</si>
  <si>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</si>
  <si>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</si>
  <si>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</si>
  <si>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</si>
  <si>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</si>
  <si>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</si>
  <si>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</si>
  <si>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</si>
  <si>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</si>
  <si>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</si>
  <si>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</si>
  <si>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</si>
  <si>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</si>
  <si>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</si>
  <si>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</si>
  <si>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</si>
  <si>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</si>
  <si>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</si>
  <si>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</si>
  <si>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</si>
  <si>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</si>
  <si>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</si>
  <si>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</si>
  <si>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</si>
  <si>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</si>
  <si>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</si>
  <si>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</si>
  <si>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</si>
  <si>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</si>
  <si>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</si>
  <si>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</si>
  <si>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</si>
  <si>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</si>
  <si>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</si>
  <si>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</si>
  <si>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</si>
  <si>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</si>
  <si>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</si>
  <si>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</si>
  <si>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</si>
  <si>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</si>
  <si>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</si>
  <si>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</si>
  <si>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</si>
  <si>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</si>
  <si>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</si>
  <si>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</si>
  <si>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</si>
  <si>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</si>
  <si>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</si>
  <si>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</si>
  <si>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</si>
  <si>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</si>
  <si>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</si>
  <si>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</si>
  <si>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</si>
  <si>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</si>
  <si>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</si>
  <si>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</si>
  <si>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</si>
  <si>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</si>
  <si>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</si>
  <si>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</si>
  <si>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</si>
  <si>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</si>
  <si>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</si>
  <si>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</si>
  <si>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</si>
  <si>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</si>
  <si>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</si>
  <si>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</si>
  <si>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</si>
  <si>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</si>
  <si>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</si>
  <si>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</si>
  <si>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</si>
  <si>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</si>
  <si>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</si>
  <si>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</si>
  <si>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</si>
  <si>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</si>
  <si>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</si>
  <si>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</si>
  <si>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</si>
  <si>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</si>
  <si>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</si>
  <si>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</si>
  <si>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</si>
  <si>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</si>
  <si>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</si>
  <si>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</si>
  <si>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</si>
  <si>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</si>
  <si>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</si>
  <si>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</si>
  <si>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</si>
  <si>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</si>
  <si>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</si>
  <si>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</si>
  <si>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</si>
  <si>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</si>
  <si>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</si>
  <si>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</si>
  <si>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</si>
  <si>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</si>
  <si>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</si>
  <si>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</si>
  <si>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</si>
  <si>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</si>
  <si>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</si>
  <si>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</si>
  <si>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</si>
  <si>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</si>
  <si>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</si>
  <si>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</si>
  <si>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</si>
  <si>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</si>
  <si>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</si>
  <si>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</si>
  <si>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</si>
  <si>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</si>
  <si>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</si>
  <si>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</si>
  <si>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</si>
  <si>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</si>
  <si>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</si>
  <si>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</si>
  <si>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</si>
  <si>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</si>
  <si>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</si>
  <si>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</si>
  <si>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</si>
  <si>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</si>
  <si>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</si>
  <si>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</si>
  <si>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</si>
  <si>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</si>
  <si>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</si>
  <si>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</si>
  <si>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</si>
  <si>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</si>
  <si>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</si>
  <si>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</si>
  <si>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</si>
  <si>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</si>
  <si>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</si>
  <si>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</si>
  <si>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</si>
  <si>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</si>
  <si>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</si>
  <si>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</si>
  <si>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</si>
  <si>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</si>
  <si>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</si>
  <si>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</si>
  <si>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</si>
  <si>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</si>
  <si>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</si>
  <si>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</si>
  <si>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</si>
  <si>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</si>
  <si>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</si>
  <si>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</si>
  <si>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</si>
  <si>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</si>
  <si>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</si>
  <si>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</si>
  <si>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</si>
  <si>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</si>
  <si>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</si>
  <si>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</si>
  <si>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</si>
  <si>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</si>
  <si>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</si>
  <si>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</si>
  <si>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</si>
  <si>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</si>
  <si>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</si>
  <si>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</si>
  <si>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</si>
  <si>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</si>
  <si>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</si>
  <si>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</si>
  <si>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</si>
  <si>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</si>
  <si>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</si>
  <si>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</si>
  <si>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</si>
  <si>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</si>
  <si>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</si>
  <si>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</si>
  <si>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</si>
  <si>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</si>
  <si>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</si>
  <si>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</si>
  <si>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</si>
  <si>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</si>
  <si>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</si>
  <si>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</si>
  <si>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</si>
  <si>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</si>
  <si>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</si>
  <si>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</si>
  <si>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</si>
  <si>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</si>
  <si>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</si>
  <si>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</si>
  <si>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</si>
  <si>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</si>
  <si>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</si>
  <si>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</si>
  <si>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</si>
  <si>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</si>
  <si>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</si>
  <si>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</si>
  <si>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</si>
  <si>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</si>
  <si>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</si>
  <si>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</si>
  <si>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</si>
  <si>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</si>
  <si>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</si>
  <si>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</si>
  <si>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</si>
  <si>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</si>
  <si>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</si>
  <si>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</si>
  <si>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</si>
  <si>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</si>
  <si>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</si>
  <si>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</si>
  <si>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</si>
  <si>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</si>
  <si>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</si>
  <si>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</si>
  <si>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</si>
  <si>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</si>
  <si>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</si>
  <si>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</si>
  <si>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</si>
  <si>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</si>
  <si>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</si>
  <si>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</si>
  <si>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</si>
  <si>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</si>
  <si>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</si>
  <si>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</si>
  <si>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</si>
  <si>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</si>
  <si>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</si>
  <si>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</si>
  <si>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</si>
  <si>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</si>
  <si>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</si>
  <si>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</si>
  <si>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</si>
  <si>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</si>
  <si>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</si>
  <si>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</si>
  <si>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</si>
  <si>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</si>
  <si>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</si>
  <si>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</si>
  <si>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</si>
  <si>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</si>
  <si>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</si>
  <si>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</si>
  <si>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</si>
  <si>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</si>
  <si>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</si>
  <si>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</si>
  <si>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</si>
  <si>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</si>
  <si>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</si>
  <si>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</si>
  <si>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</si>
  <si>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</si>
  <si>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</si>
  <si>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</si>
  <si>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</si>
  <si>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</si>
  <si>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</si>
  <si>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</si>
  <si>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</si>
  <si>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</si>
  <si>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</si>
  <si>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</si>
  <si>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</si>
  <si>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</si>
  <si>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</si>
  <si>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</si>
  <si>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</si>
  <si>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</si>
  <si>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</si>
  <si>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</si>
  <si>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</si>
  <si>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</si>
  <si>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</si>
  <si>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</si>
  <si>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</si>
  <si>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</si>
  <si>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</si>
  <si>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</si>
  <si>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</si>
  <si>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</si>
  <si>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</si>
  <si>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</si>
  <si>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</si>
  <si>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</si>
  <si>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</si>
  <si>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</si>
  <si>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</si>
  <si>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</si>
  <si>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</si>
  <si>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</si>
  <si>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</si>
  <si>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</si>
  <si>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</si>
  <si>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</si>
  <si>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</si>
  <si>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</si>
  <si>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</si>
  <si>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</si>
  <si>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</si>
  <si>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</si>
  <si>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</si>
  <si>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</si>
  <si>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</si>
  <si>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</si>
  <si>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</si>
  <si>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</si>
  <si>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</si>
  <si>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</si>
  <si>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</si>
  <si>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</si>
  <si>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</si>
  <si>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</si>
  <si>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</si>
  <si>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</si>
  <si>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</si>
  <si>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</si>
  <si>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</si>
  <si>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</si>
  <si>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</si>
  <si>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</si>
  <si>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</si>
  <si>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</si>
  <si>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</si>
  <si>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</si>
  <si>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</si>
  <si>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</si>
  <si>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</si>
  <si>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</si>
  <si>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</si>
  <si>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</si>
  <si>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</si>
  <si>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</si>
  <si>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</si>
  <si>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</si>
  <si>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</si>
  <si>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</si>
  <si>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</si>
  <si>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</si>
  <si>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</si>
  <si>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</si>
  <si>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</si>
  <si>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</si>
  <si>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</si>
  <si>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</si>
  <si>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</si>
  <si>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</si>
  <si>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</si>
  <si>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</si>
  <si>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</si>
  <si>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</si>
  <si>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</si>
  <si>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</si>
  <si>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</si>
  <si>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</si>
  <si>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</si>
  <si>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</si>
  <si>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</si>
  <si>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</si>
  <si>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</si>
  <si>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</si>
  <si>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</si>
  <si>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</si>
  <si>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</si>
  <si>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</si>
  <si>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</si>
  <si>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</si>
  <si>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</si>
  <si>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</si>
  <si>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</si>
  <si>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</si>
  <si>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</si>
  <si>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</si>
  <si>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</si>
  <si>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</si>
  <si>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</si>
  <si>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</si>
  <si>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</si>
  <si>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</si>
  <si>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</si>
  <si>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</si>
  <si>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</si>
  <si>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</si>
  <si>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</si>
  <si>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</si>
  <si>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</si>
  <si>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</si>
  <si>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</si>
  <si>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</si>
  <si>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</si>
  <si>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</si>
  <si>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</si>
  <si>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</si>
  <si>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</si>
  <si>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</si>
  <si>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</si>
  <si>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</si>
  <si>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</si>
  <si>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</si>
  <si>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</si>
  <si>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</si>
  <si>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</si>
  <si>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</si>
  <si>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</si>
  <si>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</si>
  <si>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</si>
  <si>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</si>
  <si>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</si>
  <si>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</si>
  <si>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</si>
  <si>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</si>
  <si>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</si>
  <si>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</si>
  <si>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</si>
  <si>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</si>
  <si>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</si>
  <si>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</si>
  <si>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</si>
  <si>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</si>
  <si>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</si>
  <si>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</si>
  <si>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</si>
  <si>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</si>
  <si>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</si>
  <si>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</si>
  <si>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</si>
  <si>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</si>
  <si>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</si>
  <si>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</si>
  <si>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</si>
  <si>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</si>
  <si>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</si>
  <si>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</si>
  <si>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</si>
  <si>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</si>
  <si>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</si>
  <si>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</si>
  <si>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</si>
  <si>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</si>
  <si>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</si>
  <si>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</si>
  <si>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</si>
  <si>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</si>
  <si>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</si>
  <si>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</si>
  <si>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</si>
  <si>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</si>
  <si>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</si>
  <si>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</si>
  <si>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</si>
  <si>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</si>
  <si>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</si>
  <si>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</si>
  <si>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</si>
  <si>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</si>
  <si>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</si>
  <si>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</si>
  <si>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</si>
  <si>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</si>
  <si>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</si>
  <si>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</si>
  <si>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</si>
  <si>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</si>
  <si>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</si>
  <si>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</si>
  <si>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</si>
  <si>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</si>
  <si>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</si>
  <si>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</si>
  <si>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</si>
  <si>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</si>
  <si>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</si>
  <si>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</si>
  <si>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</si>
  <si>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</si>
  <si>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</si>
  <si>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</si>
  <si>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</si>
  <si>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</si>
  <si>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</si>
  <si>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</si>
  <si>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</si>
  <si>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</si>
  <si>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</si>
  <si>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</si>
  <si>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</si>
  <si>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</si>
  <si>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</si>
  <si>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</si>
  <si>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</si>
  <si>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</si>
  <si>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</si>
  <si>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</si>
  <si>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</si>
  <si>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</si>
  <si>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</si>
  <si>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</si>
  <si>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</si>
  <si>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</si>
  <si>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</si>
  <si>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</si>
  <si>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</si>
  <si>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</si>
  <si>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</si>
  <si>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</si>
  <si>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</si>
  <si>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</si>
  <si>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</si>
  <si>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</si>
  <si>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</si>
  <si>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</si>
  <si>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</si>
  <si>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</si>
  <si>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</si>
  <si>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</si>
  <si>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</si>
  <si>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</si>
  <si>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</si>
  <si>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</si>
  <si>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</si>
  <si>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</si>
  <si>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</si>
  <si>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</si>
  <si>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</si>
  <si>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</si>
  <si>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</si>
  <si>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</si>
  <si>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</si>
  <si>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</si>
  <si>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</si>
  <si>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</si>
  <si>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</si>
  <si>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</si>
  <si>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</si>
  <si>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</si>
  <si>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</si>
  <si>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</si>
  <si>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</si>
  <si>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</si>
  <si>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</si>
  <si>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</si>
  <si>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</si>
  <si>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</si>
  <si>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</si>
  <si>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</si>
  <si>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</si>
  <si>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</si>
  <si>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</si>
  <si>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</si>
  <si>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</si>
  <si>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</si>
  <si>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</si>
  <si>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</si>
  <si>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</si>
  <si>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</si>
  <si>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</si>
  <si>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</si>
  <si>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</si>
  <si>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</si>
  <si>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</si>
  <si>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</si>
  <si>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</si>
  <si>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</si>
  <si>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</si>
  <si>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</si>
  <si>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</si>
  <si>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</si>
  <si>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</si>
  <si>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</si>
  <si>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</si>
  <si>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</si>
  <si>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</si>
  <si>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</si>
  <si>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</si>
  <si>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</si>
  <si>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</si>
  <si>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</si>
  <si>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</si>
  <si>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</si>
  <si>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</si>
  <si>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</si>
  <si>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</si>
  <si>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</si>
  <si>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</si>
  <si>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</si>
  <si>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</si>
  <si>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</si>
  <si>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</si>
  <si>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</si>
  <si>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</si>
  <si>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</si>
  <si>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</si>
  <si>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</si>
  <si>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</si>
  <si>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</si>
  <si>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</si>
  <si>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</si>
  <si>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</si>
  <si>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</si>
  <si>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</si>
  <si>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</si>
  <si>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</si>
  <si>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</si>
  <si>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</si>
  <si>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</si>
  <si>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</si>
  <si>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</si>
  <si>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</si>
  <si>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</si>
  <si>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</si>
  <si>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</si>
  <si>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</si>
  <si>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</si>
  <si>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</si>
  <si>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</si>
  <si>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</si>
  <si>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</si>
  <si>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</si>
  <si>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</si>
  <si>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</si>
  <si>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</si>
  <si>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</si>
  <si>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</si>
  <si>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</si>
  <si>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</si>
  <si>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</si>
  <si>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</si>
  <si>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</si>
  <si>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</si>
  <si>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</si>
  <si>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</si>
  <si>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</si>
  <si>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</si>
  <si>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</si>
  <si>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</si>
  <si>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</si>
  <si>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</si>
  <si>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</si>
  <si>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</si>
  <si>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</si>
  <si>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</si>
  <si>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</si>
  <si>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</si>
  <si>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</si>
  <si>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</si>
  <si>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</si>
  <si>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</si>
  <si>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</si>
  <si>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</si>
  <si>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</si>
  <si>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</si>
  <si>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</si>
  <si>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</si>
  <si>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</si>
  <si>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</si>
  <si>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</si>
  <si>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</si>
  <si>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</si>
  <si>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</si>
  <si>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</si>
  <si>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</si>
  <si>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</si>
  <si>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</si>
  <si>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</si>
  <si>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</si>
  <si>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</si>
  <si>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</si>
  <si>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</si>
  <si>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</si>
  <si>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</si>
  <si>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</si>
  <si>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</si>
  <si>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</si>
  <si>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</si>
  <si>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</si>
  <si>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</si>
  <si>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</si>
  <si>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</si>
  <si>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</si>
  <si>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</si>
  <si>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</si>
  <si>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</si>
  <si>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</si>
  <si>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</si>
  <si>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</si>
  <si>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</si>
  <si>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</si>
  <si>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</si>
  <si>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</si>
  <si>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</si>
  <si>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</si>
  <si>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</si>
  <si>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</si>
  <si>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</si>
  <si>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</si>
  <si>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</si>
  <si>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</si>
  <si>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</si>
  <si>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</si>
  <si>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</si>
  <si>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</si>
  <si>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</si>
  <si>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</si>
  <si>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</si>
  <si>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</si>
  <si>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</si>
  <si>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</si>
  <si>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</si>
  <si>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</si>
  <si>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</si>
  <si>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</si>
  <si>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</si>
  <si>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</si>
  <si>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</si>
  <si>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</si>
  <si>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</si>
  <si>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</si>
  <si>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</si>
  <si>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</si>
  <si>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</si>
  <si>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</si>
  <si>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</si>
  <si>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</si>
  <si>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</si>
  <si>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</si>
  <si>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</si>
  <si>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</si>
  <si>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</si>
  <si>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</si>
  <si>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</si>
  <si>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</si>
  <si>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</si>
  <si>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</si>
  <si>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</si>
  <si>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</si>
  <si>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</si>
  <si>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</si>
  <si>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</si>
  <si>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</si>
  <si>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</si>
  <si>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</si>
  <si>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</si>
  <si>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</si>
  <si>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</si>
  <si>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</si>
  <si>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</si>
  <si>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</si>
  <si>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</si>
  <si>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</si>
  <si>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</si>
  <si>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</si>
  <si>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</si>
  <si>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</si>
  <si>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</si>
  <si>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</si>
  <si>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</si>
  <si>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</si>
  <si>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</si>
  <si>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</si>
  <si>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</si>
  <si>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</si>
  <si>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</si>
  <si>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</si>
  <si>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</si>
  <si>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</si>
  <si>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</si>
  <si>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</si>
  <si>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</si>
  <si>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</si>
  <si>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</si>
  <si>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</si>
  <si>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</si>
  <si>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</si>
  <si>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</si>
  <si>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</si>
  <si>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</si>
  <si>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</si>
  <si>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</si>
  <si>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</si>
  <si>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</si>
  <si>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</si>
  <si>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</si>
  <si>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</si>
  <si>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</si>
  <si>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</si>
  <si>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</si>
  <si>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</si>
  <si>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</si>
  <si>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</si>
  <si>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</si>
  <si>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</si>
  <si>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</si>
  <si>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</si>
  <si>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</si>
  <si>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</si>
  <si>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</si>
  <si>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</si>
  <si>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</si>
  <si>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</si>
  <si>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</si>
  <si>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</si>
  <si>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</si>
  <si>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</si>
  <si>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</si>
  <si>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</si>
  <si>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</si>
  <si>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</si>
  <si>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</si>
  <si>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</si>
  <si>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</si>
  <si>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</si>
  <si>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</si>
  <si>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</si>
  <si>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</si>
  <si>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</si>
  <si>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</si>
  <si>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</si>
  <si>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</si>
  <si>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</si>
  <si>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</si>
  <si>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</si>
  <si>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</si>
  <si>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</si>
  <si>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</si>
  <si>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</si>
  <si>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</si>
  <si>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</si>
  <si>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</si>
  <si>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</si>
  <si>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</si>
  <si>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</si>
  <si>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</si>
  <si>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</si>
  <si>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</si>
  <si>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</si>
  <si>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</si>
  <si>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</si>
  <si>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</si>
  <si>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</si>
  <si>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</si>
  <si>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</si>
  <si>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</si>
  <si>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</si>
  <si>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</si>
  <si>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</si>
  <si>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</si>
  <si>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</si>
  <si>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</si>
  <si>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</si>
  <si>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</si>
  <si>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</si>
  <si>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</si>
  <si>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</si>
  <si>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</si>
  <si>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</si>
  <si>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</si>
  <si>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</si>
  <si>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</si>
  <si>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</si>
  <si>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</si>
  <si>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</si>
  <si>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</si>
  <si>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</si>
  <si>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</si>
  <si>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</si>
  <si>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</si>
  <si>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</si>
  <si>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</si>
  <si>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</si>
  <si>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</si>
  <si>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</si>
  <si>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</si>
  <si>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</si>
  <si>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</si>
  <si>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</si>
  <si>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</si>
  <si>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</si>
  <si>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</si>
  <si>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</si>
  <si>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</si>
  <si>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</si>
  <si>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</si>
  <si>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</si>
  <si>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</si>
  <si>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</si>
  <si>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</si>
  <si>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</si>
  <si>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</si>
  <si>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</si>
  <si>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</si>
  <si>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</si>
  <si>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</si>
  <si>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</si>
  <si>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</si>
  <si>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</si>
  <si>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</si>
  <si>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</si>
  <si>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</si>
  <si>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</si>
  <si>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</si>
  <si>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</si>
  <si>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</si>
  <si>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</si>
  <si>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</si>
  <si>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</si>
  <si>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</si>
  <si>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</si>
  <si>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</si>
  <si>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</si>
  <si>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</si>
  <si>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</si>
  <si>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</si>
  <si>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</si>
  <si>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</si>
  <si>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</si>
  <si>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</si>
  <si>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</si>
  <si>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</si>
  <si>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</si>
  <si>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</si>
  <si>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</si>
  <si>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</si>
  <si>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</si>
  <si>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</si>
  <si>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</si>
  <si>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</si>
  <si>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</si>
  <si>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</si>
  <si>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</si>
  <si>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</si>
  <si>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</si>
  <si>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</si>
  <si>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</si>
  <si>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</si>
  <si>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</si>
  <si>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</si>
  <si>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</si>
  <si>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</si>
  <si>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</si>
  <si>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</si>
  <si>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</si>
  <si>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</si>
  <si>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</si>
  <si>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</si>
  <si>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</si>
  <si>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</si>
  <si>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</si>
  <si>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</si>
  <si>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</si>
  <si>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</si>
  <si>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</si>
  <si>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</si>
  <si>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</si>
  <si>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</si>
  <si>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</si>
  <si>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</si>
  <si>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</si>
  <si>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</si>
  <si>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</si>
  <si>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</si>
  <si>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</si>
  <si>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</si>
  <si>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</si>
  <si>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</si>
  <si>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</si>
  <si>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</si>
  <si>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</si>
  <si>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</si>
  <si>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</si>
  <si>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</si>
  <si>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</si>
  <si>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</si>
  <si>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</si>
  <si>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</si>
  <si>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</si>
  <si>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</si>
  <si>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</si>
  <si>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</si>
  <si>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</si>
  <si>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</si>
  <si>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</si>
  <si>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</si>
  <si>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</si>
  <si>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</si>
  <si>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</si>
  <si>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</si>
  <si>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</si>
  <si>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</si>
  <si>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</si>
  <si>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</si>
  <si>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</si>
  <si>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</si>
  <si>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</si>
  <si>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</si>
  <si>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</si>
  <si>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</si>
  <si>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</si>
  <si>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</si>
  <si>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</si>
  <si>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</si>
  <si>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</si>
  <si>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</si>
  <si>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</si>
  <si>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</si>
  <si>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</si>
  <si>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</si>
  <si>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</si>
  <si>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</si>
  <si>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</si>
  <si>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</si>
  <si>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</si>
  <si>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</si>
  <si>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</si>
  <si>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</si>
  <si>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</si>
  <si>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</si>
  <si>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</si>
  <si>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</si>
  <si>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</si>
  <si>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</si>
  <si>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</si>
  <si>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</si>
  <si>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</si>
  <si>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</si>
  <si>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</si>
  <si>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</si>
  <si>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</si>
  <si>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</si>
  <si>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</si>
  <si>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</si>
  <si>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</si>
  <si>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</si>
  <si>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</si>
  <si>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</si>
  <si>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</si>
  <si>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</si>
  <si>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</si>
  <si>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</si>
  <si>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</si>
  <si>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</si>
  <si>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</si>
  <si>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</si>
  <si>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</si>
  <si>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</si>
  <si>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</si>
  <si>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</si>
  <si>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</si>
  <si>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</si>
  <si>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</si>
  <si>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</si>
  <si>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</si>
  <si>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</si>
  <si>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</si>
  <si>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</si>
  <si>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</si>
  <si>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</si>
  <si>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</si>
  <si>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</si>
  <si>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</si>
  <si>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</si>
  <si>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</si>
  <si>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</si>
  <si>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</si>
  <si>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</si>
  <si>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</si>
  <si>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</si>
  <si>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</si>
  <si>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</si>
  <si>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</si>
  <si>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</si>
  <si>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</si>
  <si>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</si>
  <si>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</si>
  <si>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</si>
  <si>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</si>
  <si>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</si>
  <si>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</si>
  <si>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</si>
  <si>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</si>
  <si>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</si>
  <si>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</si>
  <si>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</si>
  <si>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</si>
  <si>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</si>
  <si>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</si>
  <si>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</si>
  <si>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</si>
  <si>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</si>
  <si>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</si>
  <si>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</si>
  <si>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</si>
  <si>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</si>
  <si>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</si>
  <si>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</si>
  <si>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</si>
  <si>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</si>
  <si>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</si>
  <si>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</si>
  <si>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</si>
  <si>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</si>
  <si>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</si>
  <si>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</si>
  <si>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</si>
  <si>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</si>
  <si>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</si>
  <si>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</si>
  <si>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</si>
  <si>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</si>
  <si>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</si>
  <si>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</si>
  <si>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</si>
  <si>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</si>
  <si>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</si>
  <si>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</si>
  <si>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</si>
  <si>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</si>
  <si>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</si>
  <si>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</si>
  <si>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</si>
  <si>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</si>
  <si>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</si>
  <si>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</si>
  <si>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</si>
  <si>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</si>
  <si>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</si>
  <si>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</si>
  <si>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</si>
  <si>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</si>
  <si>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</si>
  <si>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</si>
  <si>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</si>
  <si>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</si>
  <si>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</si>
  <si>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</si>
  <si>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</si>
  <si>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</si>
  <si>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</si>
  <si>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</si>
  <si>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</si>
  <si>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</si>
  <si>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</si>
  <si>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</si>
  <si>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</si>
  <si>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</si>
  <si>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</si>
  <si>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</si>
  <si>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</si>
  <si>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</si>
  <si>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</si>
  <si>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</si>
  <si>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</si>
  <si>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</si>
  <si>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</si>
  <si>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</si>
  <si>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</si>
  <si>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</si>
  <si>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</si>
  <si>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</si>
  <si>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</si>
  <si>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</si>
  <si>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</si>
  <si>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</si>
  <si>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</si>
  <si>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</si>
  <si>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</si>
  <si>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</si>
  <si>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</si>
  <si>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</si>
  <si>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</si>
  <si>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</si>
  <si>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</si>
  <si>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</si>
  <si>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</si>
  <si>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</si>
  <si>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</si>
  <si>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</si>
  <si>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</si>
  <si>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</si>
  <si>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</si>
  <si>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</si>
  <si>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</si>
  <si>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</si>
  <si>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</si>
  <si>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</si>
  <si>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</si>
  <si>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</si>
  <si>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</si>
  <si>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</si>
  <si>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</si>
  <si>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</si>
  <si>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</si>
  <si>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</si>
  <si>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</si>
  <si>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</si>
  <si>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</si>
  <si>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</si>
  <si>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</si>
  <si>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</si>
  <si>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</si>
  <si>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</si>
  <si>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</si>
  <si>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</si>
  <si>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</si>
  <si>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</si>
  <si>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</si>
  <si>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</si>
  <si>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</si>
  <si>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</si>
  <si>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</si>
  <si>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</si>
  <si>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</si>
  <si>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</si>
  <si>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</si>
  <si>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</si>
  <si>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</si>
  <si>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</si>
  <si>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</si>
  <si>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</si>
  <si>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</si>
  <si>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</si>
  <si>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</si>
  <si>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</si>
  <si>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</si>
  <si>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</si>
  <si>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</si>
  <si>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</si>
  <si>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</si>
  <si>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</si>
  <si>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</si>
  <si>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</si>
  <si>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</si>
  <si>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</si>
  <si>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</si>
  <si>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</si>
  <si>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</si>
  <si>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</si>
  <si>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</si>
  <si>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"Översättnings"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“ISEAP”-bladet, lägg till fler rader om det behövs.
</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</si>
  <si>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</si>
  <si>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Terceira</t>
  </si>
  <si>
    <t>Os principais objectivos da estratégia de energia da Região Autónoma dos Açores são:
:: Reduzir as importações de combustíveis fósseis, de forma a:
    - Reduzir a dependência energética do exterior;
    - Melhorar a segurança do fornecimento energético;
    - Incrementar a sustentabilidade económica da Região.
:: Reduzir as emissões de CO2
    - Considerando que as áreas insulares são mais sensíveis às alterações climáticas e que uma fatia importante da economia das ilhas está relacionada com aspectos ambientais, desde o sector do turismo à agricultura, a redução das emissões de CO2 e dos seus efeitos no clima e no ambiente são de primordial importância para a Região.
:: Contribuir para o desenvolvimento social e económico da Região através da promoção de investimentos em fontes renováveis de energia, eficiência energética, mobilidade sustentável, etc.
As quatro metas definidas pelo Governo Regional para 2020 são:
:: Produzir 75% da electricidade a partir de fontes renováveis;
:: Atingir 40% da energia primária total com origem em fontes renováveis;
:: Utilizar pelo menos 50% da energia primária total sob a vorma de electricidade;
:: Reduzir em pelo menos 20% as emissões de CO2 relativamente ao ano base de 2005.</t>
  </si>
  <si>
    <t>Plano de Acção para a Energia Sustentável da Ilha Terceira</t>
  </si>
  <si>
    <t>Direcção Regional de Energia</t>
  </si>
  <si>
    <t>7616 painéis solares térmicos de 2m2 cada, para AQS</t>
  </si>
  <si>
    <t>Particulares</t>
  </si>
  <si>
    <t>Incremento de eficiência dos sistemas de AQS</t>
  </si>
  <si>
    <t>Redutores de caudal AQS em 25% das casas</t>
  </si>
  <si>
    <t>Melhorias de eficiência térmica dos edifícios devidas à Certificação Energética</t>
  </si>
  <si>
    <t>Troca de 25% das lâmpadas por CFL e LED</t>
  </si>
  <si>
    <t>Troca de 20% dos frigoríficos por mais eficientes</t>
  </si>
  <si>
    <t>Melhoria da eficiência dos aparelhos audio visuais e redução de consumos de stand-by</t>
  </si>
  <si>
    <t>Redução de 35% do consumo eléctrico em iluminação pública.</t>
  </si>
  <si>
    <t>Governo Regional e Municipios</t>
  </si>
  <si>
    <t>Programa SIRIART de melhoria de eficiência na frota de transportes públicos (8% de melhoria em 90% da frota)</t>
  </si>
  <si>
    <t>Governo Regional</t>
  </si>
  <si>
    <t xml:space="preserve">         </t>
  </si>
  <si>
    <t>Troca de veículos térmicos por 2000 veículos eléctricos</t>
  </si>
  <si>
    <t>Ampliação do Parque Eólico da Serra do Cume - 4.5MW</t>
  </si>
  <si>
    <t>EDA</t>
  </si>
  <si>
    <t>500 painéis solares fotovoltáicos - 1MW</t>
  </si>
  <si>
    <t>Central geotérmica da Terceira - 3 MW</t>
  </si>
  <si>
    <t>Não estimado</t>
  </si>
  <si>
    <t>Central de cogeração a biomassa lenhosa - 2 MW</t>
  </si>
  <si>
    <t>GDA</t>
  </si>
  <si>
    <t>Novos parques eólicos privados - 2 MW</t>
  </si>
  <si>
    <t>Privado</t>
  </si>
  <si>
    <t>Ampliação da central geotérmica com mais 3 MW</t>
  </si>
  <si>
    <t>Comissão consultiva: constituida por representantes das partes interessadas.</t>
  </si>
  <si>
    <t>Coordenação: AZORINA S.A.;Direcção Regional de Energia;
Pessoal técnico: AZORINA S.A.; Direcção Regional de Energia; EDA - Electricidade dos Açores; Empresas promotoras; Empresas de construção e obras; Outros.</t>
  </si>
  <si>
    <t>Reuniões regulares com a Comissão de Acompanhamento Local, com informação sobre as acções implementadas ou a implementar e o andamento das medidas e projectos. Identificação de acções alternativas em caso de desvios do plano original.
Para a população em geral: campanhas e artigos de informação em orgãos de comunicação, eventos específicos sobre os  temas em desenvolvimento. Divulgação das medidas em implementação e dos seus benefícios para o ambiente e para a Região.</t>
  </si>
  <si>
    <t>As fontes de financiamento serão:
- Orçamento das empresas públicas;
- Fundos próprios;
- Banco Europeu de Investimentos;
- Crédito bancário local;
- Orçamento Regional.</t>
  </si>
  <si>
    <t xml:space="preserve">Para efeitos de monitorização, serão reunidos dados de consumos de energia final, produção de energia secundária, geração de origem renovável e estado de desenvolvimento da implementação das medidas do Plano de Acção
Os valores reais de geração e utilização de energia serão comparados com os cenários previstos e as medidas implementadas ou em implementação serão igualmente comparadas com as inscritas no Plano de Acção. A Comissão Consultiva analisa os indicadores relativos aos objectivos e metas do projecto e o progresso da implementação das medidas. Esta Comissão reunirá pelo menos de dois em dois anos para discutir os resultados e as soluções necessárias para garantir a implementação do Plano de Acção para a Energia Sustentável dos Açores. </t>
  </si>
  <si>
    <t xml:space="preserve"> 68 milhões de euros até 2020 - 83.9% Particulares; 8.1% Empresas públicas; 8.0% Investimento Privado</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</si>
</sst>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4"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8"><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4" fillID_"0" borderID_"0" xfID_"0" applyFont="1" applyBorder="1" applyAlignment="1" applyProtection="1"><alignment vertical="center"/></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4" fillID_"0" borderID_"8"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4" fillID_"0" borderID_"7" xfID_"0" applyFont="1" applyBorder="1" applyAlignment="1" applyProtection="1"><alignment horizontal="left" vertical="center" wrapText="1"/></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7" sqref="B7"/></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5" t="str"><f>Translation!$A$31</f><v>Plano de Acção para a Energia Sustentável nas Ilhas (PAES)</v></c><c r="C1" s="245"/><c r="D1" s="82"/><c r="E1" s="82"/><c r="F1" s="82"/><c r="G1" s="82"/><c r="H1" s="82"/><c r="I1" s="82"/><c r="J1" s="82"/><c r="K1" s="82"/><c r="L1" s="82"/><c r="M1" s="82"/><c r="N1" s="82"/></row><row r="2" spans="1:31" s="21" customFormat="1" ht="28.5" customHeight="1" x14ac:dyDescent="0.25"><c r="A2" s="246" t="s"><v>1464</v></c><c r="B2" s="246"/><c r="C2" s="114"/><c r="D2" s="77"/><c r="E2" s="77"/><c r="F2" s="78" t="str"><f>Translation!$A$10</f><v>Ilha</v></c><c r="G2" s="79" t="str"><f>'Start here'!$B$5</f><v>Terceira</v></c><c r="H2" s="81"/><c r="I2" s="81"/><c r="J2" s="81"/><c r="K2" s="81"/><c r="L2" s="81"/><c r="M2" s="81"/><c r="N2" s="81"/></row><row r="4" spans="1:31" ht="30" customHeight="1" x14ac:dyDescent="0.25"><c r="A4" s="172" t="str"><f>Translation!A9</f><v>Idioma</v></c><c r="B4" s="102" t="s"><v>12</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Ilha</v></c><c r="B5" s="234" t="s"><v>1511</v></c></row><row r="6" spans="1:31" s="174" customFormat="1" ht="30" customHeight="1" x14ac:dyDescent="0.25"><c r="A6" s="48" t="str"><f>Translation!A12</f><v>Ano base</v></c><c r="B6" s="234"><v>2008</v></c></row><row r="7" spans="1:31" s="174" customFormat="1" ht="30" customHeight="1" x14ac:dyDescent="0.25"><c r="A7" s="48" t="str"><f>Translation!A13</f><v>Método de cálculo de CO2</v></c><c r="B7" s="103" t="s"><v>521</v></c><c r="D7" s="46" t="s"><v>521</v></c><c r="E7" s="46" t="s"><v>520</v></c><c r="F7" s="47" t="str"><f>IF(B7=D7,Translation!A14,Translation!A15)</f><v>Factores de emissão IPCC</v></c></row><row r="8" spans="1:31" s="174" customFormat="1" ht="30" customHeight="1" x14ac:dyDescent="0.25"><c r="A8" s="48" t="str"><f>Translation!A16</f><v>Unidade das emissões</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Folha</v></c><c r="B11" s="248" t="str"><f>Translation!A24</f><v>Conteúdo</v></c><c r="C11" s="248"/></row><row r="12" spans="1:31" ht="15.75" x14ac:dyDescent="0.25"><c r="A12" s="202" t="s"><v>519</v></c><c r="B12" s="247" t="str"><f>Translation!A25</f><v>Tem por objectivo permitir a tradução das tabelas.</v></c><c r="C12" s="247"/></row><row r="13" spans="1:31" ht="15.75" x14ac:dyDescent="0.25"><c r="A13" s="202" t="s"><v>518</v></c><c r="B13" s="249" t="str"><f>Translation!A26</f><v>Para inserir os factores de emissão de CO2 para o cálculo das emissões.</v></c><c r="C13" s="249"/></row><row r="14" spans="1:31" ht="15.75" x14ac:dyDescent="0.25"><c r="A14" s="202" t="s"><v>811</v></c><c r="B14" s="249" t="str"><f>Translation!A27</f><v>Para establecer as metas do ISEAP, a visão a longo prazo e os aspectos oganizacionais e de financiamento.</v></c><c r="C14" s="249"/></row><row r="15" spans="1:31" ht="15.75" x14ac:dyDescent="0.25"><c r="A15" s="202" t="s"><v>812</v></c><c r="B15" s="249" t="str"><f>Translation!A28</f><v>Para apresentar o balanço energético do ano base e o inventário de emissões de CO2.</v></c><c r="C15" s="249"/></row><row r="16" spans="1:31" ht="15.75" x14ac:dyDescent="0.25"><c r="A16" s="202" t="s"><v>853</v></c><c r="B16" s="247" t="str"><f>Translation!A29</f><v>Para apresentar o balanço energético do plano em 2020 e o inventário de emissões de CO2.</v></c><c r="C16" s="247"/></row><row r="17" spans="1:14" ht="15.75" x14ac:dyDescent="0.25"><c r="A17" s="202" t="s"><v>813</v></c><c r="B17" s="247" t="str"><f>Translation!A30</f><v>Para apresentar a lista das acções para a energia sustentável, os investimentos e a redução das emissões de CO2.</v></c><c r="C17" s="247"/></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4" t="str"><f>Translation!A213</f><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4" s="244"/><c r="C24" s="244"/><c r="D24" s="216"/><c r="E24" s="216"/><c r="F24" s="216"/><c r="G24" s="216"/><c r="H24" s="216"/><c r="I24" s="216"/><c r="J24" s="216"/><c r="K24" s="216"/><c r="L24" s="216"/><c r="M24" s="216"/><c r="N24" s="216"/></row><row r="25" spans="1:14" s="217" customFormat="1" ht="193.5" customHeight="1" x14ac:dyDescent="0.25"><c r="A25" s="244" t="str"><f>Translation!A214</f><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5" s="244"/><c r="C25" s="244"/><c r="D25" s="216"/><c r="E25" s="216"/><c r="F25" s="216"/><c r="G25" s="216"/><c r="H25" s="216"/><c r="I25" s="216"/><c r="J25" s="216"/><c r="K25" s="216"/><c r="L25" s="216"/><c r="M25" s="216"/><c r="N25" s="216"/></row><row r="26" spans="1:14" s="217" customFormat="1" ht="178.5" customHeight="1" x14ac:dyDescent="0.25"><c r="A26" s="244" t="str"><f>Translation!A215</f><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6" s="244"/><c r="C26" s="244"/><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opLeftCell="E191" zoomScale="80" zoomScaleNormal="80" workbookViewID_"0"><selection activeCell="G215" sqref="G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0" t="str"><f>Translation!$A$31</f><v>Plano de Acção para a Energia Sustentável nas Ilhas (PAES)</v></c><c r="B1" s="250"/><c r="C1" s="250"/><c r="D1" s="250"/><c r="E1" s="250"/><c r="F1" s="250"/><c r="G1" s="250"/><c r="H1" s="250"/><c r="I1" s="250"/><c r="J1" s="250"/><c r="K1" s="250"/><c r="L1" s="250"/></row><row r="2" spans="1:12" s="21" customFormat="1" ht="28.5" customHeight="1" x14ac:dyDescent="0.25"><c r="A2" s="246" t="s"><v>1464</v></c><c r="B2" s="246"/><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QUADRO DE TRADUÇÕES</v></c><c r="B4" s="2"/><c r="C4" s="2"/><c r="D4" s="2"/><c r="E4" s="2"/><c r="F4" s="2"/><c r="G4" s="2"/><c r="H4" s="2"/><c r="I4" s="2"/><c r="J4" s="2"/><c r="K4" s="2"/><c r="L4" s="2"/></row><row r="5" spans="1:12" s="6" customFormat="1" ht="18.75" customHeight="1" x14ac:dyDescent="0.25"><c r="A5" s="4" t="str"><f>A8</f><v>Por favor coloque o código do seu idioma numa das células verde claro, preencha a tradução de cada item na coluna em baixo e coloque o código do seu idioma na célula azul escuro da primeira coluna:</v></c><c r="B5" s="5"/><c r="C5" s="5"/><c r="D5" s="5"/><c r="E5" s="5"/><c r="F5" s="5"/><c r="G5" s="5"/><c r="H5" s="5"/><c r="I5" s="5"/><c r="J5" s="5"/><c r="K5" s="5"/><c r="L5" s="5"/></row><row r="6" spans="1:12" s="8" customFormat="1" ht="34.5" customHeight="1" x14ac:dyDescent="0.25"><c r="A6" s="196" t="str"><f>'Start here'!B4</f><v>PT</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QUADRO DE TRADUÇÕES</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Por favor coloque o código do seu idioma numa das células verde claro, preencha a tradução de cada item na coluna em baixo e coloque o código do seu idioma na célula azul escuro da primeira coluna:</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Idioma</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Ilha</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Ano</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Ano base</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Método de cálculo de CO2</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Factores de emissão IPCC</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Factores de emissão com Análise do Ciclo de Vida (LCA)</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Unidade das emissões</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Folha</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Conteúdo</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Tem por objectivo permitir a tradução das tabelas.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Para inserir os factores de emissão de CO2 para o cálculo das emissões.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Para establecer as metas do ISEAP, a visão a longo prazo e os aspectos oganizacionais e de financiamento.</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Para apresentar o balanço energético do ano base e o inventário de emissões de CO2.</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Para apresentar o balanço energético do plano em 2020 e o inventário de emissões de CO2.</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Para apresentar a lista das acções para a energia sustentável, os investimentos e a redução das emissões de CO2.</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Plano de Acção para a Energia Sustentável nas Ilhas (PAES)</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Instruções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ESTRATÉGIA GLOBAL</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META GLOBAL DE REDUÇÃO DAS EMISSÕES DE CO2 EM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Por favor escolha a opção pretendida</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Redução absoluta</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ou</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Redução per capita</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Meta não atingida</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VISÃO A LONGO PRAZO DA AUTORIDADE LOCAL (incluir áreas prioritária, principais tendências e desafios)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ASPECTOS ORGANIZACIONAIS E FINANCEIROS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Estruturas de coordenação e organização criadas/designadas</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Meios humanos alocados</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Envolvimento de partes interessadas e cidadãos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Orçamento global estimado</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Fontes de financiamento previstas para os investimentos do plano de acção</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Medidas previstas de monitorização e acompanhamento</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Continue na próxima página dedicada ao Inventário de Emissões do ano Base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INVENTÁRIO DE EMISSÕES NO ANO BASE</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DADOS GERAIS</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Ano do inventário</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Número de habitantes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Campos obrigatórios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RESULTADOS DO BALANÇO ENERGÉTICO</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PROCURA DE ENERGIA FINAL</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SECTOR DE PROCURA</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DESCRIÇÃO DAS ACÇÕES A IMPLEMENTAR</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Descrição do sector</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Acções gerais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RESIDENCIAL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Água quente</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Aquecimento e arrefecimento</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Iluminação</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Cozinha</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Frigoríficos e congeladores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Máquinas de lavar e secar roupa</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Máquinas de lavar louça</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Televisores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Outros aparelhos eléctricos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SECTOR PRIMÁRIO</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Agricultura, produção animal, caça, floresta e pesca</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Indústrias extractivas</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SECTOR SECUNDÁRIO</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Indústrias transformadoras</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Captação, tratamento e distribuição de água; saneamento, gestão de resíduos
e despoluição</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Construção</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SECTOR TERCIÁRIO</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Comércio por grosso e a retalho; reparação de veículos automóveis e motociclos</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Alojamento, restauração e similares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Administração pública e segurança social</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Defesa, justiça, polícia e bombeiros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Educação</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Actividades de saúde humana e apoio social</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Outros serviços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Iluminação pública</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TRANSPORTES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Transporte de passageiros por estrada (transportes públicos, táxis, turismo, transporte escolar,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Transporte de mercadorias por estrada e serviços de mudanças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Outras frotas de serviços públicos e privados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Transporte particular</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Reexportação (navios, aviões, zonas francas industriais, bases militares nacionais ou internacionais,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Actividades consumidoras intensivas de energia para exportação (para excluir do balanço energético da ilha)</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Outros (para excluir do balanço energético da ilha)</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ENERGIA PARA CONSUMO FINAL</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Serviços energéticos centralizados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Electricidade da rede pública</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Calor de rede de pública</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Frio de rede pública</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Combustíveis fósseis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Fuelóleo</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Gasóleo</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Gasolina</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GPL</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Gás natural</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Carvão</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Fontes energéticas renováveis (excluindo electricidade e calor para venda a redes públicas)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Fontes energéticas renováveis (de sistemas ligados a redes públicas)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Fontes energéticas renováveis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Hídrica</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Eólica</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Geotérmica</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Oceânica</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Biomassa</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Resíduos urbanos</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Recuperação de energia</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PARA MERCADO INTERNO</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PRODUÇÃO DE ENERGIA SECUNDÁRIA E FLUXOS ENERGÉTICOS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SECTOR DE PRODUÇÃO</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FONTE DE ENERGIA</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Produto energético</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Electricidade</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Calor</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Frio</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ENERGIA PRIMÁRIA CONVERTIDA EM ENERGIA SECUNDÁRIA (consumo de energia primária)</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Perdas de conversão de energia primária em energia secundária</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EFICIÊNCIA DA CONVERSÃO DE ENERGIA</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FLUXOS ENERGÉTICOS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Armazenamento</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Entrada para armazenamento</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Saída do armazenamento</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Ligação externa</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Importação para a ilha</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Exportação da ilha</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Reexportação e consumos externos</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Perdas de distribuição e consumos próprios</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CONVERSÃO DE ENERGIA SECUNDÁRIA</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Conversão de electricidade para frio</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Conversão de calor para frio</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Procura de energia final</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FONTE DE ENERGIA PRIMÁRIA</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PROCURA DE ENERGIA PRIMÁRIA</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Electricidade importada (cabo)</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Electricidade exportada (cabo)</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EMISSÕES DE CO2</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EMISSÕES DE CO2 DA PRODUÇÃO</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EMISSÕES DE CO2 DA UTILIZAÇÃO FINAL</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FACTORES DE EMISSÃO DE CO2</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Emissões de CO2 de instalações CELE incluídas no cálculo para a energia final</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Emissões de CO2 de instalações CELE incluídas no cálculo para a produção de energia secundária</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RESULTADOS DO INVENTÁRIO DE EMISSÕES</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Continue na próxima página dedicada ao Inventário de Emissões em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INVENTÁRIO DE EMISSÕES DO PLANO EM 2020 (com implementação das acções para a energia sustentável)</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Continue na próxima página dedicada ao Plano de Acção para a Energia Sustentável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TÍTULO DO PLANO DE ACÇÃO PARA A ENERGIA SUSTENTÁVEL</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Data de aprovação formal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Entidade que aprova o plano</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ELEMENTOS PRINCIPAIS DO PLANO DE ACÇÃO PARA A ENERGIA SUSTENTÁVEL</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SECTORES E ÁREAS DE INTERVENÇÃO</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ACÇÕES
(uma linha por acção - inserir linhas se necessário; excluir acções CELE)</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RESPONSÁVEL PELA IMPLEMENTAÇÃO</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CALENDÁRIO DE IMPLEMENTAÇÃO</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Ano de início</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Ano de conclusão</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INVESTIMENTO ESTIMADO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POUPANÇA DE ENERGIA ESPERADA [MWh/ano]</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AUMENTO DE ENERGIA RENOVÁVEL ESPERADO [MWh/ano]</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REDUÇÃO DE EMISSÕES DE CO2 ESPERADA [t/ano]</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META DE POUPANÇA DE ENERGIA EM 2020 [MWh/ano]</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META DE AUMENTO DE ENERGIA RENOVÁVEL EM 2020 [MWh/ano]</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META DE REDUÇÃO DE EMISSÕES DE CO2 EM 2020 [t/ano]</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PRODUÇÃO DE ENERGIA SECUNDÁRIA E FLUXOS ENERGÉTICOS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Electricidade (não renovável)</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Calor (não renovável)</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Frio (não renovável)</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Hídrica</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Eólica</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Geotérmica</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Oceânica</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Biomassa</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Resíduos urbanos</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Armazenamento</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Ligação externa</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Perdas de distribuição e consumos próprios</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ORDENAMENTO DO TERRITÓRIO</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Planeamento estratégico local e regional</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Planeamento de transportes e mobilidade</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Planeamento de infraestruturas energéticas</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Planeamento territorial das energias renováveis</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CONTRATOS PÚBLICOS DE EMPREITADAS, BENS E SERVIÇOS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Requisitos e standards para eficiência energética</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Requisitos e standards para energias renováveis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CIDADÃOS E PARTES INTERESSADAS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Serviços de aconselhamento</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Apoios financeiros e incentivos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Sensibilização e cooperação</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Formação e educação</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Monitorização</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Regulamentação</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OUTROS SECTORES (por favor, especificar)</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Ligação para o website dedicado ao ISEAP (se existir)</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36" x14ac:dyDescent="0.25"><c r="A213" s="201" t="str"><f t="shared" si="6"/><v>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v></c><c r="B213" s="231" t="s"><v>1500</v></c><c r="C213" s="232" t="s"><v>1501</v></c><c r="D213" s="233" t="s"><v>1502</v></c><c r="E213" s="233" t="str"><f t="shared" ref="E213:E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1" t="s"><v>1503</v></c><c r="G213" s="231" t="s"><v>1509</v></c><c r="H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36" x14ac:dyDescent="0.25"><c r="A214" s="201" t="str"><f t="shared" si="6"/><v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1" t="s"><v>1504</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6"/><v>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1" t="s"><v>1505</v></c><c r="G215" s="231" t="s"><v>1510</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0" t="str"><f>Translation!$A$31</f><v>Plano de Acção para a Energia Sustentável nas Ilhas (PAES)</v></c><c r="C1" s="250"/><c r="D1" s="250"/><c r="E1" s="250"/><c r="F1" s="250"/><c r="G1" s="250"/><c r="H1" s="250"/><c r="I1" s="250"/><c r="J1" s="250"/><c r="K1" s="250"/><c r="L1" s="250"/><c r="M1" s="250"/><c r="N1" s="250"/><c r="O1" s="250"/><c r="P1" s="250"/><c r="Q1" s="250"/><c r="R1" s="250"/><c r="S1" s="250"/><c r="T1" s="250"/></row><row r="2" spans="1:22" s="21" customFormat="1" ht="28.5" customHeight="1" x14ac:dyDescent="0.25"><c r="A2" s="259" t="s"><v>1465</v></c><c r="B2" s="259"/><c r="C2" s="259"/><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FACTORES DE EMISSÃO DE CO2</v></c><c r="B4" s="163"/><c r="T4" s="165" t="str"><f>'Start here'!G8</f><v>[t CO2/MWh]</v></c></row><row r="5" spans="1:22" ht="15" customHeight="1" x14ac:dyDescent="0.25"><c r="A5" s="253"/><c r="B5" s="253"/><c r="C5" s="258" t="str"><f>Translation!A99</f><v>Combustíveis fósseis</v></c><c r="D5" s="258"/><c r="E5" s="258"/><c r="F5" s="258"/><c r="G5" s="258"/><c r="H5" s="258"/><c r="I5" s="258"/><c r="J5" s="258" t="str"><f>Translation!A108</f><v>Fontes energéticas renováveis</v></c><c r="K5" s="258"/><c r="L5" s="258"/><c r="M5" s="258"/><c r="N5" s="258"/><c r="O5" s="258"/><c r="P5" s="258"/><c r="Q5" s="258"/><c r="R5" s="258"/><c r="S5" s="253" t="str"><f>Translation!A124</f><v>Electricidade</v></c><c r="T5" s="253"/><c r="U5" s="166"/><c r="V5" s="256" t="s"><v>522</v></c></row><row r="6" spans="1:22" ht="49.5" customHeight="1" x14ac:dyDescent="0.25"><c r="A6" s="253"/><c r="B6" s="253"/><c r="C6" s="106" t="str"><f>Translation!A100</f><v>Fuelóleo</v></c><c r="D6" s="106" t="str"><f>Translation!A101</f><v>Gasóleo</v></c><c r="E6" s="106" t="str"><f>Translation!A102</f><v>Gasolina</v></c><c r="F6" s="106" t="str"><f>Translation!A103</f><v>GPL</v></c><c r="G6" s="106" t="str"><f>Translation!A104</f><v>Gás natural</v></c><c r="H6" s="106" t="str"><f>Translation!A105</f><v>Carvão</v></c><c r="I6" s="167" t="s"><v>522</v></c><c r="J6" s="106" t="str"><f>Translation!A109</f><v>Hídrica</v></c><c r="K6" s="106" t="str"><f>Translation!A110</f><v>Eólica</v></c><c r="L6" s="106" t="str"><f>Translation!A111</f><v>Solar</v></c><c r="M6" s="106" t="str"><f>Translation!A112</f><v>Geotérmica</v></c><c r="N6" s="106" t="str"><f>Translation!A113</f><v>Oceânica</v></c><c r="O6" s="106" t="str"><f>Translation!A114</f><v>Biomassa</v></c><c r="P6" s="106" t="str"><f>Translation!A115</f><v>Resíduos urbanos</v></c><c r="Q6" s="106" t="str"><f>Translation!A116</f><v>Recuperação de energia</v></c><c r="R6" s="106" t="s"><v>522</v></c><c r="S6" s="106" t="str"><f>Translation!A145</f><v>Electricidade importada (cabo)</v></c><c r="T6" s="106" t="str"><f>Translation!A146</f><v>Electricidade exportada (cabo)</v></c><c r="U6" s="168" t="s"><v>522</v></c><c r="V6" s="257"/></row><row r="7" spans="1:22" s="164" customFormat="1" ht="20.25" customHeight="1" x14ac:dyDescent="0.25"><c r="A7" s="254" t="str"><f>'Start here'!F7</f><v>Factores de emissão IPCC</v></c><c r="B7" s="255"/><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51" t="str"><f>Translation!A14</f><v>Factores de emissão IPCC</v></c><c r="B9" s="252"/><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51" t="str"><f>Translation!A15</f><v>Factores de emissão com Análise do Ciclo de Vida (LCA)</v></c><c r="B10" s="252"/><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abSelected="1" topLeftCell="A16" zoomScale="70" zoomScaleNormal="70" workbookViewID_"0"><selection activeCell="D18" sqref="D18:R18"/></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row><row r="2" spans="1:18" s="21" customFormat="1" ht="28.5" customHeight="1" x14ac:dyDescent="0.25"><c r="A2" s="77"/><c r="B2" s="212" t="s"><v>1466</v></c><c r="C2" s="77"/><c r="D2" s="77"/><c r="E2" s="77"/><c r="F2" s="78" t="str"><f>Translation!$A$10</f><v>Ilha</v></c><c r="G2" s="79" t="str"><f>'Start here'!$B$5</f><v>Terceira</v></c><c r="H2" s="81"/><c r="I2" s="81"/><c r="J2" s="81"/><c r="K2" s="81"/><c r="L2" s="81"/><c r="M2" s="81"/><c r="N2" s="81"/><c r="O2" s="81"/><c r="P2" s="81"/><c r="Q2" s="81"/><c r="R2" s="81"/></row><row r="3" spans="1:18" ht="28.5" customHeight="1" x14ac:dyDescent="0.2"><c r="A3" s="263"/><c r="B3" s="263"/><c r="C3" s="263"/><c r="D3" s="263"/><c r="E3" s="263"/><c r="F3" s="263"/><c r="G3" s="263"/><c r="H3" s="263"/><c r="I3" s="263"/><c r="J3" s="118"/><c r="K3" s="118"/><c r="Q3" s="27"/></row><row r="4" spans="1:18" ht="39.75" customHeight="1" x14ac:dyDescent="0.2"><c r="A4" s="264" t="str"><f>Translation!A33</f><v>ESTRATÉGIA GLOBAL</v></c><c r="B4" s="264"/><c r="C4" s="264"/><c r="D4" s="264"/><c r="E4" s="264"/><c r="F4" s="264"/><c r="G4" s="264"/><c r="H4" s="264"/><c r="I4" s="264"/><c r="J4" s="264"/><c r="K4" s="264"/><c r="L4" s="264"/><c r="M4" s="264"/><c r="N4" s="264"/><c r="O4" s="264"/><c r="P4" s="264"/><c r="Q4" s="264"/><c r="R4" s="264"/></row><row r="5" spans="1:18" ht="21" x14ac:dyDescent="0.35"><c r="A5" s="128"/><c r="B5" s="137"/><c r="C5" s="138"/><c r="D5" s="139"/><c r="E5" s="139"/><c r="F5" s="139"/><c r="G5" s="140"/><c r="H5" s="141"/><c r="P5" s="268" t="str"><f>Translation!$A$53</f><v>Campos obrigatórios</v></c><c r="Q5" s="268"/><c r="R5" s="268"/></row><row r="6" spans="1:18" ht="31.5" x14ac:dyDescent="0.25"><c r="A6" s="156"/><c r="B6" s="157"/><c r="J6" s="158" t="str"><f>Translation!A36</f><v>Redução absoluta</v></c><c r="L6" s="158" t="str"><f>Translation!A38</f><v>Redução per capita</v></c></row><row r="7" spans="1:18" s="160" customFormat="1" ht="36" x14ac:dyDescent="0.35"><c r="A7" s="112" t="s"><v>0</v></c><c r="B7" s="266" t="str"><f>Translation!A34</f><v>META GLOBAL DE REDUÇÃO DAS EMISSÕES DE CO2 EM 2020</v></c><c r="C7" s="266"/><c r="D7" s="266"/><c r="E7" s="266"/><c r="F7" s="266"/><c r="G7" s="266"/><c r="H7" s="266"/><c r="I7" s="267"/><c r="J7" s="235"><v>0.2</v></c><c r="K7" s="159" t="str"><f>Translation!A37</f><v>ou</v></c><c r="L7" s="235"><v>0.2</v></c><c r="M7" s="265" t="str"><f>Translation!$A$35</f><v>Por favor escolha a opção pretendida</v></c><c r="N7" s="265"/><c r="O7" s="265"/></row><row r="8" spans="1:18" s="207" customFormat="1" ht="12" x14ac:dyDescent="0.2"><c r="A8" s="205"/><c r="B8" s="206"/><c r="D8" s="208"/><c r="E8" s="208"/><c r="F8" s="208"/><c r="G8" s="209"/><c r="H8" s="210"/><c r="J8" s="211"><f>IF('Baseline emission inventory'!Y143&gt;0,('Baseline emission inventory'!Y143-'Plan emission inventory in 2020'!Y143)/'Baseline emission inventory'!Y143,0)</f><v>0.24546242843269889</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0.25032859654695344</v></c></row><row r="9" spans="1:18" ht="33.75" customHeight="1" x14ac:dyDescent="0.35"><c r="A9" s="128"/><c r="B9" s="137"/><c r="C9" s="138"/><c r="D9" s="139"/><c r="E9" s="139"/><c r="F9" s="139"/><c r="G9" s="140"/><c r="H9" s="141"/></row><row r="10" spans="1:18" s="179" customFormat="1" ht="36" x14ac:dyDescent="0.55000000000000004"><c r="A10" s="112" t="s"><v>4</v></c><c r="B10" s="100" t="str"><f>Translation!A40</f><v>VISÃO A LONGO PRAZO DA AUTORIDADE LOCAL (incluir áreas prioritária, principais tendências e desafios)</v></c><c r="C10" s="176"/><c r="D10" s="177"/><c r="E10" s="176"/><c r="F10" s="177"/><c r="G10" s="176"/><c r="H10" s="178"/><c r="I10" s="178"/><c r="J10" s="178"/><c r="K10" s="178"/><c r="L10" s="178"/><c r="M10" s="178"/><c r="N10" s="178"/></row><row r="11" spans="1:18" ht="137.25" customHeight="1" x14ac:dyDescent="0.2"><c r="B11" s="260" t="s"><v>1512</v></c><c r="C11" s="261"/><c r="D11" s="261"/><c r="E11" s="261"/><c r="F11" s="261"/><c r="G11" s="261"/><c r="H11" s="261"/><c r="I11" s="261"/><c r="J11" s="261"/><c r="K11" s="261"/><c r="L11" s="261"/><c r="M11" s="261"/><c r="N11" s="261"/><c r="O11" s="261"/><c r="P11" s="261"/><c r="Q11" s="261"/><c r="R11" s="262"/></row><row r="12" spans="1:18" ht="13.5" customHeight="1" x14ac:dyDescent="0.2"><c r="B12" s="161"/><c r="C12" s="161"/><c r="D12" s="161"/><c r="E12" s="161"/><c r="F12" s="161"/><c r="G12" s="161"/><c r="H12" s="161"/><c r="I12" s="161"/></row><row r="13" spans="1:18" s="179" customFormat="1" ht="36" x14ac:dyDescent="0.55000000000000004"><c r="A13" s="112" t="s"><v>10</v></c><c r="B13" s="100" t="str"><f>Translation!A41</f><v>ASPECTOS ORGANIZACIONAIS E FINANCEIROS</v></c><c r="C13" s="178"/><c r="D13" s="178"/><c r="E13" s="178"/><c r="F13" s="178"/><c r="G13" s="178"/><c r="H13" s="178"/><c r="I13" s="178"/><c r="J13" s="178"/><c r="K13" s="178"/><c r="L13" s="178"/><c r="M13" s="178"/><c r="N13" s="178"/></row><row r="14" spans="1:18" ht="60.75" customHeight="1" x14ac:dyDescent="0.3"><c r="A14" s="144"/><c r="B14" s="273" t="str"><f>Translation!A42</f><v>Estruturas de coordenação e organização criadas/designadas</v></c><c r="C14" s="274"/><c r="D14" s="260" t="s"><v>1539</v></c><c r="E14" s="261"/><c r="F14" s="261"/><c r="G14" s="261"/><c r="H14" s="261"/><c r="I14" s="261"/><c r="J14" s="261"/><c r="K14" s="261"/><c r="L14" s="261"/><c r="M14" s="261"/><c r="N14" s="261"/><c r="O14" s="261"/><c r="P14" s="261"/><c r="Q14" s="261"/><c r="R14" s="262"/></row><row r="15" spans="1:18" ht="60.75" customHeight="1" x14ac:dyDescent="0.3"><c r="A15" s="144"/><c r="B15" s="273" t="str"><f>Translation!A43</f><v>Meios humanos alocados</v></c><c r="C15" s="274"/><c r="D15" s="260" t="s"><v>1540</v></c><c r="E15" s="261"/><c r="F15" s="261"/><c r="G15" s="261"/><c r="H15" s="261"/><c r="I15" s="261"/><c r="J15" s="261"/><c r="K15" s="261"/><c r="L15" s="261"/><c r="M15" s="261"/><c r="N15" s="261"/><c r="O15" s="261"/><c r="P15" s="261"/><c r="Q15" s="261"/><c r="R15" s="262"/></row><row r="16" spans="1:18" ht="60.75" customHeight="1" x14ac:dyDescent="0.3"><c r="A16" s="144"/><c r="B16" s="273" t="str"><f>Translation!A44</f><v>Envolvimento de partes interessadas e cidadãos</v></c><c r="C16" s="274"/><c r="D16" s="260" t="s"><v>1541</v></c><c r="E16" s="261"/><c r="F16" s="261"/><c r="G16" s="261"/><c r="H16" s="261"/><c r="I16" s="261"/><c r="J16" s="261"/><c r="K16" s="261"/><c r="L16" s="261"/><c r="M16" s="261"/><c r="N16" s="261"/><c r="O16" s="261"/><c r="P16" s="261"/><c r="Q16" s="261"/><c r="R16" s="262"/></row><row r="17" spans="1:18" ht="60.75" customHeight="1" x14ac:dyDescent="0.3"><c r="A17" s="144"/><c r="B17" s="273" t="str"><f>Translation!A45</f><v>Orçamento global estimado</v></c><c r="C17" s="274"/><c r="D17" s="260" t="s"><v>1544</v></c><c r="E17" s="261"/><c r="F17" s="261"/><c r="G17" s="261"/><c r="H17" s="261"/><c r="I17" s="261"/><c r="J17" s="261"/><c r="K17" s="261"/><c r="L17" s="261"/><c r="M17" s="261"/><c r="N17" s="261"/><c r="O17" s="261"/><c r="P17" s="261"/><c r="Q17" s="261"/><c r="R17" s="262"/></row><row r="18" spans="1:18" ht="60.75" customHeight="1" x14ac:dyDescent="0.3"><c r="A18" s="144"/><c r="B18" s="273" t="str"><f>Translation!A46</f><v>Fontes de financiamento previstas para os investimentos do plano de acção</v></c><c r="C18" s="274"/><c r="D18" s="260" t="s"><v>1542</v></c><c r="E18" s="261"/><c r="F18" s="261"/><c r="G18" s="261"/><c r="H18" s="261"/><c r="I18" s="261"/><c r="J18" s="261"/><c r="K18" s="261"/><c r="L18" s="261"/><c r="M18" s="261"/><c r="N18" s="261"/><c r="O18" s="261"/><c r="P18" s="261"/><c r="Q18" s="261"/><c r="R18" s="262"/></row><row r="19" spans="1:18" ht="60.75" customHeight="1" x14ac:dyDescent="0.3"><c r="A19" s="144"/><c r="B19" s="273" t="str"><f>Translation!A47</f><v>Medidas previstas de monitorização e acompanhamento</v></c><c r="C19" s="274"/><c r="D19" s="260" t="s"><v>1543</v></c><c r="E19" s="261"/><c r="F19" s="261"/><c r="G19" s="261"/><c r="H19" s="261"/><c r="I19" s="261"/><c r="J19" s="261"/><c r="K19" s="261"/><c r="L19" s="261"/><c r="M19" s="261"/><c r="N19" s="261"/><c r="O19" s="261"/><c r="P19" s="261"/><c r="Q19" s="261"/><c r="R19" s="262"/></row><row r="20" spans="1:18" ht="23.25" customHeight="1" x14ac:dyDescent="0.2"><c r="A20" s="144"/><c r="B20" s="161"/><c r="C20" s="161"/><c r="D20" s="161"/><c r="E20" s="161"/><c r="F20" s="161"/><c r="G20" s="161"/><c r="H20" s="161"/><c r="I20" s="161"/></row><row r="21" spans="1:18" ht="23.25" x14ac:dyDescent="0.35"><c r="A21" s="144"/><c r="B21" s="269" t="str"><f>Translation!A48</f><v xml:space="preserve">Continue na próxima página dedicada ao Inventário de Emissões do ano Base </v></c><c r="C21" s="270"/><c r="D21" s="270"/><c r="E21" s="270"/><c r="F21" s="270"/><c r="G21" s="270"/><c r="H21" s="270"/><c r="I21" s="270"/><c r="J21" s="270"/><c r="K21" s="270"/><c r="L21" s="270"/><c r="M21" s="270"/><c r="N21" s="270"/><c r="O21" s="270"/><c r="P21" s="270"/><c r="Q21" s="270"/><c r="R21" s="270"/></row><row r="22" spans="1:18" ht="13.5" customHeight="1" x14ac:dyDescent="0.2"><c r="A22" s="144"/><c r="B22" s="161"/><c r="C22" s="161"/><c r="D22" s="161"/><c r="E22" s="161"/><c r="F22" s="161"/><c r="G22" s="161"/><c r="H22" s="161"/><c r="I22" s="161"/></row><row r="23" spans="1:18" s="21" customFormat="1" ht="12.75" customHeight="1" x14ac:dyDescent="0.25"><c r="B23"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23" s="271"/><c r="D23" s="271"/><c r="E23" s="271"/><c r="F23" s="271"/><c r="G23" s="271"/><c r="H23" s="271"/><c r="I23" s="271"/><c r="J23" s="271"/><c r="K23" s="271"/><c r="L23" s="271"/><c r="M23" s="271"/><c r="N23" s="271"/><c r="O23" s="271"/><c r="P23" s="271"/><c r="Q23" s="271"/><c r="R23" s="271"/></row><row r="24" spans="1:18" s="21" customFormat="1" ht="12.75" customHeight="1" x14ac:dyDescent="0.25"><c r="B24" s="271"/><c r="C24" s="271"/><c r="D24" s="271"/><c r="E24" s="271"/><c r="F24" s="271"/><c r="G24" s="271"/><c r="H24" s="271"/><c r="I24" s="271"/><c r="J24" s="271"/><c r="K24" s="271"/><c r="L24" s="271"/><c r="M24" s="271"/><c r="N24" s="271"/><c r="O24" s="271"/><c r="P24" s="271"/><c r="Q24" s="271"/><c r="R24" s="271"/></row><row r="25" spans="1:18" s="21" customFormat="1" ht="12.75" customHeight="1" x14ac:dyDescent="0.25"><c r="B25" s="271"/><c r="C25" s="271"/><c r="D25" s="271"/><c r="E25" s="271"/><c r="F25" s="271"/><c r="G25" s="271"/><c r="H25" s="271"/><c r="I25" s="271"/><c r="J25" s="271"/><c r="K25" s="271"/><c r="L25" s="271"/><c r="M25" s="271"/><c r="N25" s="271"/><c r="O25" s="271"/><c r="P25" s="271"/><c r="Q25" s="271"/><c r="R25" s="271"/></row><row r="27" spans="1:18" s="162" customFormat="1" ht="15.75" x14ac:dyDescent="0.25"><c r="B27" s="272"/><c r="C27" s="272"/><c r="D27" s="272"/><c r="E27" s="272"/><c r="F27" s="272"/><c r="G27" s="272"/><c r="H27" s="272"/><c r="I27" s="272"/><c r="J27" s="272"/><c r="K27" s="272"/><c r="L27" s="272"/><c r="M27" s="272"/><c r="N27" s="272"/><c r="O27" s="272"/></row></sheetData><mergeCells count="22"><mergeCell ref="D17:R17"/><mergeCell ref="D18:R18"/><mergeCell ref="D19:R19"/><mergeCell ref="D14:R14"/><mergeCell ref="D15:R15"/><mergeCell ref="D16:R16"/><mergeCell ref="B21:R21"/><mergeCell ref="B23:R25"/><mergeCell ref="B27:O27"/><mergeCell ref="A1:R1"/><mergeCell ref="B17:C17"/><mergeCell ref="B18:C18"/><mergeCell ref="B19:C19"/><mergeCell ref="B14:C14"/><mergeCell ref="B15:C15"/><mergeCell ref="B16:C16"/><mergeCell ref="B11:R11"/><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8"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Terceira</v></c><c r="K2" s="81"/><c r="L2" s="81"/><c r="M2" s="81"/><c r="N2" s="81"/><c r="O2" s="81"/><c r="P2" s="81"/><c r="Q2" s="81"/><c r="R2" s="150"/><c r="S2" s="152"/><c r="T2" s="78" t="str"><f>Translation!$A$51</f><v>Ano do inventário</v></c><c r="U2" s="151"><f>'Start here'!$B$6</f><v>2008</v></c></row><row r="3" spans="1:30" ht="28.5" customHeight="1" x14ac:dyDescent="0.2"><c r="A3" s="116"/><c r="D3" s="116"/><c r="E3" s="116"/><c r="F3" s="116"/><c r="G3" s="116"/><c r="H3" s="116"/><c r="I3" s="116"/><c r="J3" s="118"/><c r="K3" s="118"/><c r="T3" s="27"/></row><row r="4" spans="1:30" ht="46.5" customHeight="1" x14ac:dyDescent="0.2"><c r="A4" s="264" t="str"><f>Translation!A49</f><v>INVENTÁRIO DE EMISSÕES NO ANO BASE</v></c><c r="B4" s="264"/><c r="C4" s="264"/><c r="D4" s="264"/><c r="E4" s="264"/><c r="F4" s="264"/><c r="G4" s="264"/><c r="H4" s="264"/><c r="I4" s="264"/><c r="J4" s="264"/><c r="K4" s="264"/><c r="L4" s="264"/><c r="M4" s="264"/><c r="N4" s="264"/><c r="O4" s="264"/><c r="P4" s="264"/><c r="Q4" s="264"/><c r="R4" s="264"/><c r="S4" s="264"/><c r="T4" s="264"/><c r="U4" s="26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8" t="str"><f>Translation!$A$53</f><v>Campos obrigatórios</v></c><c r="T6" s="268"/><c r="U6" s="268"/></row><row r="7" spans="1:30" s="126" customFormat="1" ht="36" x14ac:dyDescent="0.55000000000000004"><c r="A7" s="124" t="s"><v>0</v></c><c r="B7" s="125" t="str"><f>Translation!A50</f><v>DADOS GERAIS</v></c><c r="L7" s="127"/></row><row r="8" spans="1:30" ht="21" x14ac:dyDescent="0.35"><c r="A8" s="128"/><c r="B8" s="130" t="str"><f>Translation!A52</f><v>Número de habitantes</v></c><c r="C8" s="315"><v>55923</v></c><c r="D8" s="316"/><c r="E8" s="153" t="str"><f>"("&amp;U2&amp;")"</f><v>(2008)</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7" t="str"><f>'Start here'!F7</f><v>Factores de emissão IPCC</v></c><c r="D10" s="317"/><c r="E10" s="317"/><c r="F10" s="317"/><c r="G10" s="317"/><c r="H10" s="317"/><c r="I10" s="317"/><c r="J10" s="31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5" t="str"><f>Translation!A56</f><v>SECTOR DE PROCURA</v></c><c r="C14" s="277" t="str"><f>Translation!A94</f><v>ENERGIA PARA CONSUMO FINAL</v></c><c r="D14" s="278"/><c r="E14" s="278"/><c r="F14" s="278"/><c r="G14" s="278"/><c r="H14" s="278"/><c r="I14" s="278"/><c r="J14" s="278"/><c r="K14" s="278"/><c r="L14" s="278"/><c r="M14" s="278"/><c r="N14" s="278"/><c r="O14" s="278"/><c r="P14" s="278"/><c r="Q14" s="278"/><c r="R14" s="278"/><c r="S14" s="278"/><c r="T14" s="278"/><c r="U14" s="279"/></row><row r="15" spans="1:30" s="51" customFormat="1" ht="18" customHeight="1" x14ac:dyDescent="0.25"><c r="B15" s="276"/><c r="C15" s="277" t="str"><f>Translation!A95</f><v>Serviços energéticos centralizados</v></c><c r="D15" s="278"/><c r="E15" s="278"/><c r="F15" s="279"/><c r="G15" s="277" t="str"><f>Translation!A99</f><v>Combustíveis fósseis</v></c><c r="H15" s="278"/><c r="I15" s="278"/><c r="J15" s="278"/><c r="K15" s="278"/><c r="L15" s="278"/><c r="M15" s="279"/><c r="N15" s="277" t="str"><f>Translation!A106</f><v>Fontes energéticas renováveis (excluindo electricidade e calor para venda a redes públicas)</v></c><c r="O15" s="278"/><c r="P15" s="278"/><c r="Q15" s="278"/><c r="R15" s="278"/><c r="S15" s="278"/><c r="T15" s="279"/><c r="U15" s="275"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6"/></row><row r="17" spans="1:21" s="21" customFormat="1" ht="15.75" x14ac:dyDescent="0.25"><c r="A17" s="22"/><c r="B17" s="66" t="str"><f>Translation!A60</f><v>RESIDENCIAL</v></c><c r="C17" s="236"><f>SUM(C18:C26)</f><v>63137.66</v></c><c r="D17" s="236"><f>SUM(D18:D26)</f><v>0</v></c><c r="E17" s="236"><f>SUM(E18:E26)</f><v>0</v></c><c r="F17" s="64"><f t="shared" ref="F17:F51" si="0">SUM(C17:E17)</f><v>63137.66</v></c><c r="G17" s="236"><f t="shared" ref="G17:L17" si="1">SUM(G18:G26)</f><v>0</v></c><c r="H17" s="236"><f t="shared" si="1"/><v>0</v></c><c r="I17" s="236"><f t="shared" si="1"/><v>0</v></c><c r="J17" s="236"><f t="shared" si="1"/><v>67945</v></c><c r="K17" s="236"><f t="shared" si="1"/><v>0</v></c><c r="L17" s="236"><f t="shared" si="1"/><v>0</v></c><c r="M17" s="64"><f t="shared" ref="M17:M51" si="2">SUM(G17:L17)</f><v>67945</v></c><c r="N17" s="236"><f t="shared" ref="N17:S17" si="3">SUM(N18:N26)</f><v>0</v></c><c r="O17" s="236"><f t="shared" si="3"/><v>0</v></c><c r="P17" s="236"><f t="shared" si="3"/><v>0</v></c><c r="Q17" s="236"><f t="shared" si="3"/><v>0</v></c><c r="R17" s="236"><f t="shared" si="3"/><v>0</v></c><c r="S17" s="236"><f t="shared" si="3"/><v>0</v></c><c r="T17" s="64"><f t="shared" ref="T17" si="4">SUM(N17:S17)</f><v>0</v></c><c r="U17" s="64"><f t="shared" ref="U17" si="5">F17+M17+T17</f><v>131082.66</v></c></row><row r="18" spans="1:21" s="21" customFormat="1" ht="15.75" x14ac:dyDescent="0.25"><c r="A18" s="22"/><c r="B18" s="182" t="str"><f>Translation!A61</f><v>Água quente</v></c><c r="C18" s="154"><v>63137.66</v></c><c r="D18" s="154"/><c r="E18" s="154"/><c r="F18" s="64"><f t="shared" si="0"/><v>63137.66</v></c><c r="G18" s="154"/><c r="H18" s="154"/><c r="I18" s="154"/><c r="J18" s="154"><v>67945</v></c><c r="K18" s="154"/><c r="L18" s="154"/><c r="M18" s="64"><f t="shared" si="2"/><v>67945</v></c><c r="N18" s="154"/><c r="O18" s="154"/><c r="P18" s="154"/><c r="Q18" s="154"/><c r="R18" s="154"/><c r="S18" s="154"/><c r="T18" s="64"><f t="shared" ref="T18:T51" si="6">SUM(N18:S18)</f><v>0</v></c><c r="U18" s="64"><f t="shared" ref="U18:U51" si="7">F18+M18+T18</f><v>131082.66</v></c></row><row r="19" spans="1:21" s="21" customFormat="1" ht="15.75" x14ac:dyDescent="0.25"><c r="A19" s="22"/><c r="B19" s="182" t="str"><f>Translation!A62</f><v>Aquecimento e arrefecimento</v></c><c r="C19" s="154"/><c r="D19" s="154"/><c r="E19" s="154"/><c r="F19" s="64"><f t="shared" si="0"/><v>0</v></c><c r="G19" s="154"/><c r="H19" s="154"/><c r="I19" s="154"/><c r="J19" s="154"/><c r="K19" s="154"/><c r="L19" s="154"/><c r="M19" s="64"><f t="shared" si="2"/><v>0</v></c><c r="N19" s="154"/><c r="O19" s="154"/><c r="P19" s="154"/><c r="Q19" s="154"/><c r="R19" s="154"/><c r="S19" s="154"/><c r="T19" s="64"><f t="shared" si="6"/><v>0</v></c><c r="U19" s="64"><f t="shared" si="7"/><v>0</v></c></row><row r="20" spans="1:21" s="21" customFormat="1" ht="15.75" x14ac:dyDescent="0.25"><c r="A20" s="22"/><c r="B20" s="182" t="str"><f>Translation!A63</f><v>Iluminação</v></c><c r="C20" s="154"/><c r="D20" s="154"/><c r="E20" s="154"/><c r="F20" s="64"><f t="shared" si="0"/><v>0</v></c><c r="G20" s="154"/><c r="H20" s="154"/><c r="I20" s="154"/><c r="J20" s="154"/><c r="K20" s="154"/><c r="L20" s="154"/><c r="M20" s="64"><f t="shared" si="2"/><v>0</v></c><c r="N20" s="154"/><c r="O20" s="154"/><c r="P20" s="154"/><c r="Q20" s="154"/><c r="R20" s="154"/><c r="S20" s="154"/><c r="T20" s="64"><f t="shared" si="6"/><v>0</v></c><c r="U20" s="64"><f t="shared" si="7"/><v>0</v></c></row><row r="21" spans="1:21" s="21" customFormat="1" ht="15.75" x14ac:dyDescent="0.25"><c r="A21" s="22"/><c r="B21" s="182" t="str"><f>Translation!A64</f><v>Cozinha</v></c><c r="C21" s="154"/><c r="D21" s="154"/><c r="E21" s="154"/><c r="F21" s="64"><f t="shared" si="0"/><v>0</v></c><c r="G21" s="154"/><c r="H21" s="154"/><c r="I21" s="154"/><c r="J21" s="154"/><c r="K21" s="154"/><c r="L21" s="154"/><c r="M21" s="64"><f t="shared" si="2"/><v>0</v></c><c r="N21" s="154"/><c r="O21" s="154"/><c r="P21" s="154"/><c r="Q21" s="154"/><c r="R21" s="154"/><c r="S21" s="154"/><c r="T21" s="64"><f t="shared" si="6"/><v>0</v></c><c r="U21" s="64"><f t="shared" si="7"/><v>0</v></c></row><row r="22" spans="1:21" s="21" customFormat="1" ht="15.75" x14ac:dyDescent="0.25"><c r="A22" s="22"/><c r="B22" s="182" t="str"><f>Translation!A65</f><v>Frigoríficos e congeladores</v></c><c r="C22" s="154"/><c r="D22" s="154"/><c r="E22" s="154"/><c r="F22" s="64"><f t="shared" si="0"/><v>0</v></c><c r="G22" s="154"/><c r="H22" s="154"/><c r="I22" s="154"/><c r="J22" s="154"/><c r="K22" s="154"/><c r="L22" s="154"/><c r="M22" s="64"><f t="shared" si="2"/><v>0</v></c><c r="N22" s="154"/><c r="O22" s="154"/><c r="P22" s="154"/><c r="Q22" s="154"/><c r="R22" s="154"/><c r="S22" s="154"/><c r="T22" s="64"><f t="shared" si="6"/><v>0</v></c><c r="U22" s="64"><f t="shared" si="7"/><v>0</v></c></row><row r="23" spans="1:21" s="21" customFormat="1" ht="15.75" x14ac:dyDescent="0.25"><c r="A23" s="22"/><c r="B23" s="182" t="str"><f>Translation!A66</f><v>Máquinas de lavar e secar roupa</v></c><c r="C23" s="154"/><c r="D23" s="154"/><c r="E23" s="154"/><c r="F23" s="64"><f t="shared" si="0"/><v>0</v></c><c r="G23" s="154"/><c r="H23" s="154"/><c r="I23" s="154"/><c r="J23" s="154"/><c r="K23" s="154"/><c r="L23" s="154"/><c r="M23" s="64"><f t="shared" si="2"/><v>0</v></c><c r="N23" s="154"/><c r="O23" s="154"/><c r="P23" s="154"/><c r="Q23" s="154"/><c r="R23" s="154"/><c r="S23" s="154"/><c r="T23" s="64"><f t="shared" si="6"/><v>0</v></c><c r="U23" s="64"><f t="shared" si="7"/><v>0</v></c></row><row r="24" spans="1:21" s="21" customFormat="1" ht="15.75" x14ac:dyDescent="0.25"><c r="A24" s="22"/><c r="B24" s="182" t="str"><f>Translation!A67</f><v>Máquinas de lavar louça</v></c><c r="C24" s="154"/><c r="D24" s="154"/><c r="E24" s="154"/><c r="F24" s="64"><f t="shared" si="0"/><v>0</v></c><c r="G24" s="154"/><c r="H24" s="154"/><c r="I24" s="154"/><c r="J24" s="154"/><c r="K24" s="154"/><c r="L24" s="154"/><c r="M24" s="64"><f t="shared" si="2"/><v>0</v></c><c r="N24" s="154"/><c r="O24" s="154"/><c r="P24" s="154"/><c r="Q24" s="154"/><c r="R24" s="154"/><c r="S24" s="154"/><c r="T24" s="64"><f t="shared" si="6"/><v>0</v></c><c r="U24" s="64"><f t="shared" si="7"/><v>0</v></c></row><row r="25" spans="1:21" s="21" customFormat="1" ht="15.75" x14ac:dyDescent="0.25"><c r="A25" s="22"/><c r="B25" s="182" t="str"><f>Translation!A68</f><v>Televisores</v></c><c r="C25" s="154"/><c r="D25" s="154"/><c r="E25" s="154"/><c r="F25" s="64"><f t="shared" si="0"/><v>0</v></c><c r="G25" s="154"/><c r="H25" s="154"/><c r="I25" s="154"/><c r="J25" s="154"/><c r="K25" s="154"/><c r="L25" s="154"/><c r="M25" s="64"><f t="shared" si="2"/><v>0</v></c><c r="N25" s="154"/><c r="O25" s="154"/><c r="P25" s="154"/><c r="Q25" s="154"/><c r="R25" s="154"/><c r="S25" s="154"/><c r="T25" s="64"><f t="shared" si="6"/><v>0</v></c><c r="U25" s="64"><f t="shared" si="7"/><v>0</v></c></row><row r="26" spans="1:21" s="21" customFormat="1" ht="15.75" x14ac:dyDescent="0.25"><c r="A26" s="22"/><c r="B26" s="182" t="str"><f>Translation!A69</f><v>Outros aparelhos eléctricos</v></c><c r="C26" s="154"/><c r="D26" s="154"/><c r="E26" s="154"/><c r="F26" s="64"><f t="shared" si="0"/><v>0</v></c><c r="G26" s="154"/><c r="H26" s="154"/><c r="I26" s="154"/><c r="J26" s="154"/><c r="K26" s="154"/><c r="L26" s="154"/><c r="M26" s="64"><f t="shared" si="2"/><v>0</v></c><c r="N26" s="154"/><c r="O26" s="154"/><c r="P26" s="154"/><c r="Q26" s="154"/><c r="R26" s="154"/><c r="S26" s="154"/><c r="T26" s="64"><f t="shared" si="6"/><v>0</v></c><c r="U26" s="64"><f t="shared" si="7"/><v>0</v></c></row><row r="27" spans="1:21" s="21" customFormat="1" ht="15.75" x14ac:dyDescent="0.25"><c r="A27" s="22"/><c r="B27" s="66" t="str"><f>Translation!A70</f><v>SECTOR PRIMÁRIO</v></c><c r="C27" s="236"><f>SUM(C28:C29)</f><v>2507.5</v></c><c r="D27" s="236"><f>SUM(D28:D29)</f><v>0</v></c><c r="E27" s="236"><f>SUM(E28:E29)</f><v>0</v></c><c r="F27" s="64"><f t="shared" si="0"/><v>2507.5</v></c><c r="G27" s="236"><f t="shared" ref="G27:L27" si="8">SUM(G28:G29)</f><v>0</v></c><c r="H27" s="236"><f t="shared" si="8"/><v>61889</v></c><c r="I27" s="236"><f t="shared" si="8"/><v>0</v></c><c r="J27" s="236"><f t="shared" si="8"/><v>0</v></c><c r="K27" s="236"><f t="shared" si="8"/><v>0</v></c><c r="L27" s="236"><f t="shared" si="8"/><v>0</v></c><c r="M27" s="64"><f t="shared" si="2"/><v>61889</v></c><c r="N27" s="236"><f t="shared" ref="N27:S27" si="9">SUM(N28:N29)</f><v>0</v></c><c r="O27" s="236"><f t="shared" si="9"/><v>0</v></c><c r="P27" s="236"><f t="shared" si="9"/><v>0</v></c><c r="Q27" s="236"><f t="shared" si="9"/><v>0</v></c><c r="R27" s="236"><f t="shared" si="9"/><v>0</v></c><c r="S27" s="236"><f t="shared" si="9"/><v>0</v></c><c r="T27" s="64"><f t="shared" si="6"/><v>0</v></c><c r="U27" s="64"><f t="shared" si="7"/><v>64396.5</v></c></row><row r="28" spans="1:21" s="21" customFormat="1" ht="15.75" x14ac:dyDescent="0.25"><c r="A28" s="22"/><c r="B28" s="183" t="str"><f>Translation!A71</f><v>Agricultura, produção animal, caça, floresta e pesca</v></c><c r="C28" s="154"><v>2354.7600000000002</v></c><c r="D28" s="154"/><c r="E28" s="154"/><c r="F28" s="64"><f t="shared" si="0"/><v>2354.7600000000002</v></c><c r="G28" s="154"/><c r="H28" s="154"><v>61889</v></c><c r="I28" s="154"/><c r="J28" s="154"/><c r="K28" s="154"/><c r="L28" s="154"/><c r="M28" s="64"><f t="shared" si="2"/><v>61889</v></c><c r="N28" s="154"/><c r="O28" s="154"/><c r="P28" s="154"/><c r="Q28" s="154"/><c r="R28" s="154"/><c r="S28" s="154"/><c r="T28" s="64"><f t="shared" si="6"/><v>0</v></c><c r="U28" s="64"><f t="shared" si="7"/><v>64243.76</v></c></row><row r="29" spans="1:21" s="21" customFormat="1" ht="15.75" x14ac:dyDescent="0.25"><c r="A29" s="22"/><c r="B29" s="183" t="str"><f>Translation!A72</f><v>Indústrias extractivas</v></c><c r="C29" s="154"><v>152.74</v></c><c r="D29" s="154"/><c r="E29" s="154"/><c r="F29" s="64"><f t="shared" si="0"/><v>152.74</v></c><c r="G29" s="154"/><c r="H29" s="154"/><c r="I29" s="154"/><c r="J29" s="154"/><c r="K29" s="154"/><c r="L29" s="154"/><c r="M29" s="64"><f t="shared" si="2"/><v>0</v></c><c r="N29" s="154"/><c r="O29" s="154"/><c r="P29" s="154"/><c r="Q29" s="154"/><c r="R29" s="154"/><c r="S29" s="154"/><c r="T29" s="64"><f t="shared" si="6"/><v>0</v></c><c r="U29" s="64"><f t="shared" si="7"/><v>152.74</v></c></row><row r="30" spans="1:21" s="21" customFormat="1" ht="15.75" x14ac:dyDescent="0.25"><c r="A30" s="22"/><c r="B30" s="61" t="str"><f>Translation!A73</f><v>SECTOR SECUNDÁRIO</v></c><c r="C30" s="236"><f>SUM(C31:C33)</f><v>23106.770000000004</v></c><c r="D30" s="236"><f>SUM(D31:D33)</f><v>0</v></c><c r="E30" s="236"><f>SUM(E31:E33)</f><v>0</v></c><c r="F30" s="64"><f t="shared" si="0"/><v>23106.770000000004</v></c><c r="G30" s="236"><f t="shared" ref="G30:L30" si="10">SUM(G31:G33)</f><v>55001</v></c><c r="H30" s="236"><f t="shared" si="10"/><v>0</v></c><c r="I30" s="236"><f t="shared" si="10"/><v>0</v></c><c r="J30" s="236"><f t="shared" si="10"/><v>0</v></c><c r="K30" s="236"><f t="shared" si="10"/><v>0</v></c><c r="L30" s="236"><f t="shared" si="10"/><v>0</v></c><c r="M30" s="64"><f t="shared" si="2"/><v>55001</v></c><c r="N30" s="236"><f t="shared" ref="N30:S30" si="11">SUM(N31:N33)</f><v>0</v></c><c r="O30" s="236"><f t="shared" si="11"/><v>0</v></c><c r="P30" s="236"><f t="shared" si="11"/><v>0</v></c><c r="Q30" s="236"><f t="shared" si="11"/><v>0</v></c><c r="R30" s="236"><f t="shared" si="11"/><v>0</v></c><c r="S30" s="236"><f t="shared" si="11"/><v>0</v></c><c r="T30" s="64"><f t="shared" si="6"/><v>0</v></c><c r="U30" s="64"><f t="shared" si="7"/><v>78107.77</v></c></row><row r="31" spans="1:21" s="21" customFormat="1" ht="15.75" x14ac:dyDescent="0.25"><c r="A31" s="22"/><c r="B31" s="183" t="str"><f>Translation!A74</f><v>Indústrias transformadoras</v></c><c r="C31" s="154"><v>19407.310000000001</v></c><c r="D31" s="154"/><c r="E31" s="154"/><c r="F31" s="64"><f t="shared" si="0"/><v>19407.310000000001</v></c><c r="G31" s="154"><v>55001</v></c><c r="H31" s="154"/><c r="I31" s="154"/><c r="J31" s="154"/><c r="K31" s="154"/><c r="L31" s="154"/><c r="M31" s="64"><f t="shared" si="2"/><v>55001</v></c><c r="N31" s="154"/><c r="O31" s="154"/><c r="P31" s="154"/><c r="Q31" s="154"/><c r="R31" s="154"/><c r="S31" s="154"/><c r="T31" s="64"><f t="shared" si="6"/><v>0</v></c><c r="U31" s="64"><f t="shared" si="7"/><v>74408.31</v></c></row><row r="32" spans="1:21" s="21" customFormat="1" ht="45" x14ac:dyDescent="0.25"><c r="A32" s="22"/><c r="B32" s="183" t="str"><f>Translation!A75</f><v>Captação, tratamento e distribuição de água; saneamento, gestão de resíduos
e despoluição</v></c><c r="C32" s="154"><v>1609.29</v></c><c r="D32" s="154"/><c r="E32" s="154"/><c r="F32" s="64"><f t="shared" si="0"/><v>1609.29</v></c><c r="G32" s="154"/><c r="H32" s="154"/><c r="I32" s="154"/><c r="J32" s="154"/><c r="K32" s="154"/><c r="L32" s="154"/><c r="M32" s="64"><f t="shared" si="2"/><v>0</v></c><c r="N32" s="154"/><c r="O32" s="154"/><c r="P32" s="154"/><c r="Q32" s="154"/><c r="R32" s="154"/><c r="S32" s="154"/><c r="T32" s="64"><f t="shared" si="6"/><v>0</v></c><c r="U32" s="64"><f t="shared" si="7"/><v>1609.29</v></c></row><row r="33" spans="1:21" s="21" customFormat="1" ht="15.75" x14ac:dyDescent="0.25"><c r="A33" s="22"/><c r="B33" s="183" t="str"><f>Translation!A76</f><v>Construção</v></c><c r="C33" s="154"><v>2090.17</v></c><c r="D33" s="154"/><c r="E33" s="154"/><c r="F33" s="64"><f t="shared" si="0"/><v>2090.17</v></c><c r="G33" s="154"/><c r="H33" s="154"/><c r="I33" s="154"/><c r="J33" s="154"/><c r="K33" s="154"/><c r="L33" s="154"/><c r="M33" s="64"><f t="shared" si="2"/><v>0</v></c><c r="N33" s="154"/><c r="O33" s="154"/><c r="P33" s="154"/><c r="Q33" s="154"/><c r="R33" s="154"/><c r="S33" s="154"/><c r="T33" s="64"><f t="shared" si="6"/><v>0</v></c><c r="U33" s="64"><f t="shared" si="7"/><v>2090.17</v></c></row><row r="34" spans="1:21" s="21" customFormat="1" ht="15.75" x14ac:dyDescent="0.25"><c r="A34" s="22"/><c r="B34" s="61" t="str"><f>Translation!A77</f><v>SECTOR TERCIÁRIO</v></c><c r="C34" s="236"><f>SUM(C35:C42)</f><v>103389.2</v></c><c r="D34" s="236"><f>SUM(D35:D42)</f><v>0</v></c><c r="E34" s="236"><f>SUM(E35:E42)</f><v>0</v></c><c r="F34" s="64"><f t="shared" si="0"/><v>103389.2</v></c><c r="G34" s="236"><f t="shared" ref="G34:L34" si="12">SUM(G35:G42)</f><v>0</v></c><c r="H34" s="236"><f t="shared" si="12"/><v>0</v></c><c r="I34" s="236"><f t="shared" si="12"/><v>0</v></c><c r="J34" s="236"><f t="shared" si="12"/><v>0</v></c><c r="K34" s="236"><f t="shared" si="12"/><v>0</v></c><c r="L34" s="236"><f t="shared" si="12"/><v>0</v></c><c r="M34" s="64"><f t="shared" si="2"/><v>0</v></c><c r="N34" s="236"><f t="shared" ref="N34:S34" si="13">SUM(N35:N42)</f><v>0</v></c><c r="O34" s="236"><f t="shared" si="13"/><v>0</v></c><c r="P34" s="236"><f t="shared" si="13"/><v>0</v></c><c r="Q34" s="236"><f t="shared" si="13"/><v>0</v></c><c r="R34" s="236"><f t="shared" si="13"/><v>0</v></c><c r="S34" s="236"><f t="shared" si="13"/><v>0</v></c><c r="T34" s="64"><f t="shared" si="6"/><v>0</v></c><c r="U34" s="64"><f t="shared" si="7"/><v>103389.2</v></c></row><row r="35" spans="1:21" s="21" customFormat="1" ht="30" x14ac:dyDescent="0.25"><c r="A35" s="22"/><c r="B35" s="183" t="str"><f>Translation!A78</f><v>Comércio por grosso e a retalho; reparação de veículos automóveis e motociclos</v></c><c r="C35" s="154"><v>23411.98</v></c><c r="D35" s="154"/><c r="E35" s="154"/><c r="F35" s="64"><f t="shared" si="0"/><v>23411.98</v></c><c r="G35" s="154"/><c r="H35" s="154"/><c r="I35" s="154"/><c r="J35" s="154"/><c r="K35" s="154"/><c r="L35" s="154"/><c r="M35" s="64"><f t="shared" si="2"/><v>0</v></c><c r="N35" s="154"/><c r="O35" s="154"/><c r="P35" s="154"/><c r="Q35" s="154"/><c r="R35" s="154"/><c r="S35" s="154"/><c r="T35" s="64"><f t="shared" si="6"/><v>0</v></c><c r="U35" s="64"><f t="shared" si="7"/><v>23411.98</v></c></row><row r="36" spans="1:21" s="21" customFormat="1" ht="15.75" x14ac:dyDescent="0.25"><c r="A36" s="22"/><c r="B36" s="183" t="str"><f>Translation!A79</f><v>Alojamento, restauração e similares</v></c><c r="C36" s="154"><v>9902.57</v></c><c r="D36" s="154"/><c r="E36" s="154"/><c r="F36" s="64"><f t="shared" si="0"/><v>9902.57</v></c><c r="G36" s="154"/><c r="H36" s="154"/><c r="I36" s="154"/><c r="J36" s="154"/><c r="K36" s="154"/><c r="L36" s="154"/><c r="M36" s="64"><f t="shared" si="2"/><v>0</v></c><c r="N36" s="154"/><c r="O36" s="154"/><c r="P36" s="154"/><c r="Q36" s="154"/><c r="R36" s="154"/><c r="S36" s="154"/><c r="T36" s="64"><f t="shared" si="6"/><v>0</v></c><c r="U36" s="64"><f t="shared" si="7"/><v>9902.57</v></c></row><row r="37" spans="1:21" s="21" customFormat="1" ht="15.75" x14ac:dyDescent="0.25"><c r="A37" s="22"/><c r="B37" s="183" t="str"><f>Translation!A80</f><v>Administração pública e segurança social</v></c><c r="C37" s="154"><v>10364.06</v></c><c r="D37" s="154"/><c r="E37" s="154"/><c r="F37" s="64"><f t="shared" si="0"/><v>10364.06</v></c><c r="G37" s="154"/><c r="H37" s="154"/><c r="I37" s="154"/><c r="J37" s="154"/><c r="K37" s="154"/><c r="L37" s="154"/><c r="M37" s="64"><f t="shared" si="2"/><v>0</v></c><c r="N37" s="154"/><c r="O37" s="154"/><c r="P37" s="154"/><c r="Q37" s="154"/><c r="R37" s="154"/><c r="S37" s="154"/><c r="T37" s="64"><f t="shared" si="6"/><v>0</v></c><c r="U37" s="64"><f t="shared" si="7"/><v>10364.06</v></c></row><row r="38" spans="1:21" s="21" customFormat="1" ht="15.75" x14ac:dyDescent="0.25"><c r="A38" s="22"/><c r="B38" s="183" t="str"><f>Translation!A81</f><v>Defesa, justiça, polícia e bombeiros</v></c><c r="C38" s="154"><v>3892.83</v></c><c r="D38" s="154"/><c r="E38" s="154"/><c r="F38" s="64"><f t="shared" si="0"/><v>3892.83</v></c><c r="G38" s="154"/><c r="H38" s="154"/><c r="I38" s="154"/><c r="J38" s="154"/><c r="K38" s="154"/><c r="L38" s="154"/><c r="M38" s="64"><f t="shared" si="2"/><v>0</v></c><c r="N38" s="154"/><c r="O38" s="154"/><c r="P38" s="154"/><c r="Q38" s="154"/><c r="R38" s="154"/><c r="S38" s="154"/><c r="T38" s="64"><f t="shared" si="6"/><v>0</v></c><c r="U38" s="64"><f t="shared" si="7"/><v>3892.83</v></c></row><row r="39" spans="1:21" s="21" customFormat="1" ht="15.75" x14ac:dyDescent="0.25"><c r="A39" s="22"/><c r="B39" s="183" t="str"><f>Translation!A82</f><v>Educação</v></c><c r="C39" s="154"><v>2565.92</v></c><c r="D39" s="154"/><c r="E39" s="154"/><c r="F39" s="64"><f t="shared" si="0"/><v>2565.92</v></c><c r="G39" s="154"/><c r="H39" s="154"/><c r="I39" s="154"/><c r="J39" s="154"/><c r="K39" s="154"/><c r="L39" s="154"/><c r="M39" s="64"><f t="shared" si="2"/><v>0</v></c><c r="N39" s="154"/><c r="O39" s="154"/><c r="P39" s="154"/><c r="Q39" s="154"/><c r="R39" s="154"/><c r="S39" s="154"/><c r="T39" s="64"><f t="shared" si="6"/><v>0</v></c><c r="U39" s="64"><f t="shared" si="7"/><v>2565.92</v></c></row><row r="40" spans="1:21" s="21" customFormat="1" ht="15.75" x14ac:dyDescent="0.25"><c r="A40" s="22"/><c r="B40" s="183" t="str"><f>Translation!A83</f><v>Actividades de saúde humana e apoio social</v></c><c r="C40" s="154"><v>5263.98</v></c><c r="D40" s="154"/><c r="E40" s="154"/><c r="F40" s="64"><f t="shared" si="0"/><v>5263.98</v></c><c r="G40" s="154"/><c r="H40" s="154"/><c r="I40" s="154"/><c r="J40" s="154"/><c r="K40" s="154"/><c r="L40" s="154"/><c r="M40" s="64"><f t="shared" si="2"/><v>0</v></c><c r="N40" s="154"/><c r="O40" s="154"/><c r="P40" s="154"/><c r="Q40" s="154"/><c r="R40" s="154"/><c r="S40" s="154"/><c r="T40" s="64"><f t="shared" si="6"/><v>0</v></c><c r="U40" s="64"><f t="shared" si="7"/><v>5263.98</v></c></row><row r="41" spans="1:21" s="21" customFormat="1" ht="15.75" x14ac:dyDescent="0.25"><c r="A41" s="22"/><c r="B41" s="183" t="str"><f>Translation!A84</f><v>Outros serviços</v></c><c r="C41" s="154"><v>41937.85</v></c><c r="D41" s="154"/><c r="E41" s="154"/><c r="F41" s="64"><f t="shared" si="0"/><v>41937.85</v></c><c r="G41" s="154"/><c r="H41" s="154"/><c r="I41" s="154"/><c r="J41" s="154"/><c r="K41" s="154"/><c r="L41" s="154"/><c r="M41" s="64"><f t="shared" si="2"/><v>0</v></c><c r="N41" s="154"/><c r="O41" s="154"/><c r="P41" s="154"/><c r="Q41" s="154"/><c r="R41" s="154"/><c r="S41" s="154"/><c r="T41" s="64"><f t="shared" si="6"/><v>0</v></c><c r="U41" s="64"><f t="shared" si="7"/><v>41937.85</v></c></row><row r="42" spans="1:21" s="21" customFormat="1" ht="15.75" x14ac:dyDescent="0.25"><c r="A42" s="22"/><c r="B42" s="183" t="str"><f>Translation!A85</f><v>Iluminação pública</v></c><c r="C42" s="154"><v>6050.01</v></c><c r="D42" s="154"/><c r="E42" s="154"/><c r="F42" s="64"><f t="shared" si="0"/><v>6050.01</v></c><c r="G42" s="154"/><c r="H42" s="154"/><c r="I42" s="154"/><c r="J42" s="154"/><c r="K42" s="154"/><c r="L42" s="154"/><c r="M42" s="64"><f t="shared" si="2"/><v>0</v></c><c r="N42" s="154"/><c r="O42" s="154"/><c r="P42" s="154"/><c r="Q42" s="154"/><c r="R42" s="154"/><c r="S42" s="154"/><c r="T42" s="64"><f t="shared" si="6"/><v>0</v></c><c r="U42" s="64"><f t="shared" si="7"/><v>6050.01</v></c></row><row r="43" spans="1:21" s="21" customFormat="1" ht="15.75" x14ac:dyDescent="0.25"><c r="A43" s="22"/><c r="B43" s="61" t="str"><f>Translation!A86</f><v>TRANSPORTES</v></c><c r="C43" s="236"><f>SUM(C44:C47)</f><v>311.89999999999998</v></c><c r="D43" s="236"><f>SUM(D44:D47)</f><v>0</v></c><c r="E43" s="236"><f>SUM(E44:E47)</f><v>0</v></c><c r="F43" s="64"><f t="shared" si="0"/><v>311.89999999999998</v></c><c r="G43" s="236"><f t="shared" ref="G43:L43" si="14">SUM(G44:G47)</f><v>0</v></c><c r="H43" s="236"><f t="shared" si="14"/><v>220904</v></c><c r="I43" s="236"><f t="shared" si="14"/><v>98531</v></c><c r="J43" s="236"><f t="shared" si="14"/><v>0</v></c><c r="K43" s="236"><f t="shared" si="14"/><v>0</v></c><c r="L43" s="236"><f t="shared" si="14"/><v>0</v></c><c r="M43" s="64"><f t="shared" si="2"/><v>319435</v></c><c r="N43" s="236"><f t="shared" ref="N43:S43" si="15">SUM(N44:N47)</f><v>0</v></c><c r="O43" s="236"><f t="shared" si="15"/><v>0</v></c><c r="P43" s="236"><f t="shared" si="15"/><v>0</v></c><c r="Q43" s="236"><f t="shared" si="15"/><v>0</v></c><c r="R43" s="236"><f t="shared" si="15"/><v>0</v></c><c r="S43" s="236"><f t="shared" si="15"/><v>0</v></c><c r="T43" s="64"><f t="shared" si="6"/><v>0</v></c><c r="U43" s="64"><f t="shared" si="7"/><v>319746.90000000002</v></c></row><row r="44" spans="1:21" s="21" customFormat="1" ht="30" x14ac:dyDescent="0.25"><c r="A44" s="22"/><c r="B44" s="183" t="str"><f>Translation!A87</f><v>Transporte de passageiros por estrada (transportes públicos, táxis, turismo, transporte escolar, etc.)</v></c><c r="C44" s="154"><v>192.89</v></c><c r="D44" s="154"/><c r="E44" s="154"/><c r="F44" s="64"><f t="shared" si="0"/><v>192.89</v></c><c r="G44" s="154"/><c r="H44" s="154"><v>220904</v></c><c r="I44" s="154"><v>98531</v></c><c r="J44" s="154"/><c r="K44" s="154"/><c r="L44" s="154"/><c r="M44" s="64"><f t="shared" si="2"/><v>319435</v></c><c r="N44" s="154"/><c r="O44" s="154"/><c r="P44" s="154"/><c r="Q44" s="154"/><c r="R44" s="154"/><c r="S44" s="154"/><c r="T44" s="64"><f t="shared" si="6"/><v>0</v></c><c r="U44" s="64"><f t="shared" si="7"/><v>319627.89</v></c></row><row r="45" spans="1:21" s="21" customFormat="1" ht="30" x14ac:dyDescent="0.25"><c r="A45" s="22"/><c r="B45" s="183" t="str"><f>Translation!A88</f><v>Transporte de mercadorias por estrada e serviços de mudanças</v></c><c r="C45" s="154"/><c r="D45" s="154"/><c r="E45" s="154"/><c r="F45" s="64"><f t="shared" si="0"/><v>0</v></c><c r="G45" s="154"/><c r="H45" s="154"/><c r="I45" s="154"/><c r="J45" s="154"/><c r="K45" s="154"/><c r="L45" s="154"/><c r="M45" s="64"><f t="shared" si="2"/><v>0</v></c><c r="N45" s="154"/><c r="O45" s="154"/><c r="P45" s="154"/><c r="Q45" s="154"/><c r="R45" s="154"/><c r="S45" s="154"/><c r="T45" s="64"><f t="shared" si="6"/><v>0</v></c><c r="U45" s="64"><f t="shared" si="7"/><v>0</v></c></row><row r="46" spans="1:21" s="21" customFormat="1" ht="15.75" x14ac:dyDescent="0.25"><c r="A46" s="22"/><c r="B46" s="183" t="str"><f>Translation!A89</f><v>Outras frotas de serviços públicos e privados</v></c><c r="C46" s="154"><v>84.6</v></c><c r="D46" s="154"/><c r="E46" s="154"/><c r="F46" s="64"><f t="shared" si="0"/><v>84.6</v></c><c r="G46" s="154"/><c r="H46" s="154"/><c r="I46" s="154"/><c r="J46" s="154"/><c r="K46" s="154"/><c r="L46" s="154"/><c r="M46" s="64"><f t="shared" si="2"/><v>0</v></c><c r="N46" s="154"/><c r="O46" s="154"/><c r="P46" s="154"/><c r="Q46" s="154"/><c r="R46" s="154"/><c r="S46" s="154"/><c r="T46" s="64"><f t="shared" si="6"/><v>0</v></c><c r="U46" s="64"><f t="shared" si="7"/><v>84.6</v></c></row><row r="47" spans="1:21" s="21" customFormat="1" ht="15.75" x14ac:dyDescent="0.25"><c r="A47" s="22"/><c r="B47" s="182" t="str"><f>Translation!A90</f><v>Transporte particular</v></c><c r="C47" s="154"><v>34.409999999999997</v></c><c r="D47" s="154"/><c r="E47" s="154"/><c r="F47" s="64"><f t="shared" si="0"/><v>34.409999999999997</v></c><c r="G47" s="154"/><c r="H47" s="154"/><c r="I47" s="154"/><c r="J47" s="154"/><c r="K47" s="154"/><c r="L47" s="154"/><c r="M47" s="64"><f t="shared" si="2"/><v>0</v></c><c r="N47" s="154"/><c r="O47" s="154"/><c r="P47" s="154"/><c r="Q47" s="154"/><c r="R47" s="154"/><c r="S47" s="154"/><c r="T47" s="64"><f t="shared" si="6"/><v>0</v></c><c r="U47" s="64"><f t="shared" si="7"/><v>34.409999999999997</v></c></row><row r="48" spans="1:21" s="21" customFormat="1" ht="15.75" x14ac:dyDescent="0.25"><c r="A48" s="22"/><c r="B48" s="73" t="str"><f>Translation!A118</f><v>TOTAL PARA MERCADO INTERNO</v></c><c r="C48" s="149"><f>C17+C27+C30+C34+C43</f><v>192453.03</v></c><c r="D48" s="149"><f>D17+D27+D30+D34+D43</f><v>0</v></c><c r="E48" s="149"><f>E17+E27+E30+E34+E43</f><v>0</v></c><c r="F48" s="64"><f t="shared" si="0"/><v>192453.03</v></c><c r="G48" s="65"><f t="shared" ref="G48:L48" si="16">G17+G27+G30+G34+G43</f><v>55001</v></c><c r="H48" s="65"><f t="shared" si="16"/><v>282793</v></c><c r="I48" s="65"><f t="shared" si="16"/><v>98531</v></c><c r="J48" s="65"><f t="shared" si="16"/><v>67945</v></c><c r="K48" s="65"><f t="shared" si="16"/><v>0</v></c><c r="L48" s="65"><f t="shared" si="16"/><v>0</v></c><c r="M48" s="64"><f t="shared" si="2"/><v>504270</v></c><c r="N48" s="65"><f t="shared" ref="N48:S48" si="17">N17+N27+N30+N34+N43</f><v>0</v></c><c r="O48" s="65"><f t="shared" si="17"/><v>0</v></c><c r="P48" s="65"><f t="shared" si="17"/><v>0</v></c><c r="Q48" s="65"><f t="shared" si="17"/><v>0</v></c><c r="R48" s="65"><f t="shared" si="17"/><v>0</v></c><c r="S48" s="65"><f t="shared" si="17"/><v>0</v></c><c r="T48" s="64"><f t="shared" si="6"/><v>0</v></c><c r="U48" s="64"><f t="shared" si="7"/><v>696723.03</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6"/><v>0</v></c><c r="U49" s="64"><f t="shared" si="7"/><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6"/><v>0</v></c><c r="U50" s="64"><f t="shared" si="7"/><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6"/><v>0</v></c><c r="U51" s="64"><f t="shared" si="7"/><v>0</v></c></row><row r="52" spans="2:32" s="51" customFormat="1" ht="15.75" x14ac:dyDescent="0.25"><c r="B52" s="73" t="str"><f>Translation!A119</f><v>TOTAL</v></c><c r="C52" s="53"><f>SUM(C48:C51)</f><v>192453.03</v></c><c r="D52" s="53"><f t="shared" ref="D52:U52" si="18">SUM(D48:D51)</f><v>0</v></c><c r="E52" s="53"><f t="shared" si="18"/><v>0</v></c><c r="F52" s="53"><f t="shared" si="18"/><v>192453.03</v></c><c r="G52" s="53"><f t="shared" si="18"/><v>55001</v></c><c r="H52" s="53"><f t="shared" si="18"/><v>282793</v></c><c r="I52" s="53"><f t="shared" si="18"/><v>98531</v></c><c r="J52" s="53"><f t="shared" si="18"/><v>67945</v></c><c r="K52" s="53"><f t="shared" si="18"/><v>0</v></c><c r="L52" s="53"><f t="shared" si="18"/><v>0</v></c><c r="M52" s="53"><f t="shared" si="18"/><v>504270</v></c><c r="N52" s="53"><f t="shared" si="18"/><v>0</v></c><c r="O52" s="53"><f t="shared" si="18"/><v>0</v></c><c r="P52" s="53"><f t="shared" si="18"/><v>0</v></c><c r="Q52" s="53"><f t="shared" si="18"/><v>0</v></c><c r="R52" s="53"><f t="shared" si="18"/><v>0</v></c><c r="S52" s="53"><f t="shared" si="18"/><v>0</v></c><c r="T52" s="53"><f t="shared" si="18"/><v>0</v></c><c r="U52" s="53"><f t="shared" si="18"/><v>696723.03</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5" t="str"><f>Translation!A121</f><v>SECTOR DE PRODUÇÃO</v></c><c r="C56" s="277" t="str"><f>Translation!A122</f><v>FONTE DE ENERGIA</v></c><c r="D56" s="278"/><c r="E56" s="278"/><c r="F56" s="278"/><c r="G56" s="278"/><c r="H56" s="278"/><c r="I56" s="278"/><c r="J56" s="278"/><c r="K56" s="278"/><c r="L56" s="278"/><c r="M56" s="278"/><c r="N56" s="278"/><c r="O56" s="278"/><c r="P56" s="278"/><c r="Q56" s="278"/><c r="R56" s="278"/><c r="S56" s="279"/><c r="T56" s="277" t="str"><f>Translation!A139</f><v>CONVERSÃO DE ENERGIA SECUNDÁRIA</v></c><c r="U56" s="278"/><c r="V56" s="279"/><c r="W56" s="296" t="str"><f>Translation!A130</f><v>FLUXOS ENERGÉTICOS</v></c><c r="X56" s="297"/><c r="Y56" s="297"/><c r="Z56" s="297"/><c r="AA56" s="297"/><c r="AB56" s="298"/><c r="AC56" s="308" t="str"><f>Translation!A119</f><v>TOTAL</v></c><c r="AD56" s="258" t="str"><f>Translation!A138</f><v>Perdas de distribuição e consumos próprios</v></c></row><row r="57" spans="2:32" s="51" customFormat="1" ht="18" customHeight="1" x14ac:dyDescent="0.25"><c r="B57" s="276"/><c r="C57" s="312" t="str"><f>Translation!A99</f><v>Combustíveis fósseis</v></c><c r="D57" s="313"/><c r="E57" s="313"/><c r="F57" s="313"/><c r="G57" s="313"/><c r="H57" s="313"/><c r="I57" s="314"/><c r="J57" s="312" t="str"><f>Translation!A107</f><v>Fontes energéticas renováveis (de sistemas ligados a redes públicas)</v></c><c r="K57" s="313"/><c r="L57" s="313"/><c r="M57" s="313"/><c r="N57" s="313"/><c r="O57" s="313"/><c r="P57" s="313"/><c r="Q57" s="313"/><c r="R57" s="314"/><c r="S57" s="258" t="str"><f>Translation!A117</f><v>Subtotal</v></c><c r="T57" s="306" t="str"><f>Translation!A140</f><v>Conversão de electricidade para frio</v></c><c r="U57" s="306" t="str"><f>Translation!A141</f><v>Conversão de calor para frio</v></c><c r="V57" s="258" t="str"><f>Translation!A117</f><v>Subtotal</v></c><c r="W57" s="310" t="str"><f>Translation!A131</f><v>Armazenamento</v></c><c r="X57" s="311"/><c r="Y57" s="309" t="str"><f>Translation!A134</f><v>Ligação externa</v></c><c r="Z57" s="309"/><c r="AA57" s="275" t="str"><f>Translation!A137</f><v>Reexportação e consumos externos</v></c><c r="AB57" s="258" t="str"><f>Translation!A117</f><v>Subtotal</v></c><c r="AC57" s="308"/><c r="AD57" s="258"/></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8"/><c r="T58" s="307"/><c r="U58" s="307"/><c r="V58" s="258"/><c r="W58" s="110" t="str"><f>Translation!A132</f><v>Entrada para armazenamento</v></c><c r="X58" s="110" t="str"><f>Translation!A133</f><v>Saída do armazenamento</v></c><c r="Y58" s="110" t="str"><f>Translation!A135</f><v>Importação para a ilha</v></c><c r="Z58" s="110" t="str"><f>Translation!A136</f><v>Exportação da ilha</v></c><c r="AA58" s="276"/><c r="AB58" s="258"/><c r="AC58" s="308"/><c r="AD58" s="258"/></row><row r="59" spans="2:32" s="51" customFormat="1" ht="15.75" x14ac:dyDescent="0.25"><c r="B59" s="184" t="str"><f>Translation!A124</f><v>Electricidade</v></c><c r="C59" s="237"><v>200696.1</v></c><c r="D59" s="237"><v>3987.7</v></c><c r="E59" s="237"/><c r="F59" s="237"/><c r="G59" s="237"/><c r="H59" s="237"/><c r="I59" s="59"><f>SUM(C59:H59)</f><v>204683.80000000002</v></c><c r="J59" s="237"><v>1770</v></c><c r="K59" s="237"><v>7110</v></c><c r="L59" s="237"/><c r="M59" s="237"/><c r="N59" s="237"/><c r="O59" s="237"/><c r="P59" s="237"/><c r="Q59" s="237"/><c r="R59" s="59"><f>SUM(J59:Q59)</f><v>8880</v></c><c r="S59" s="59"><f>I59+R59</f><v>213563.80000000002</v></c><c r="T59" s="237"/><c r="U59" s="237"/><c r="V59" s="59"><f>-T59</f><v>0</v></c><c r="W59" s="237"/><c r="X59" s="237"/><c r="Y59" s="237"/><c r="Z59" s="237"/><c r="AA59" s="186"><f>$C$49+$C$50+$C$51</f><v>0</v></c><c r="AB59" s="59"><f>-SUM(W59)+SUM(X59:Y59)-SUM(Z59:AA59)</f><v>0</v></c><c r="AC59" s="64"><f>S59+V59+AB59</f><v>213563.80000000002</v></c><c r="AD59" s="187"><f>AC59-C48</f><v>21110.770000000019</v></c></row><row r="60" spans="2:32" s="51" customFormat="1" ht="15.75" x14ac:dyDescent="0.25"><c r="B60" s="183" t="str"><f>Translation!A125</f><v>Calor</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9">SUM(C59:C61)</f><v>200696.1</v></c><c r="D62" s="53"><f t="shared" si="19"/><v>3987.7</v></c><c r="E62" s="53"><f t="shared" si="19"/><v>0</v></c><c r="F62" s="53"><f t="shared" si="19"/><v>0</v></c><c r="G62" s="53"><f t="shared" si="19"/><v>0</v></c><c r="H62" s="53"><f t="shared" si="19"/><v>0</v></c><c r="I62" s="53"><f t="shared" si="19"/><v>204683.80000000002</v></c><c r="J62" s="53"><f t="shared" si="19"/><v>1770</v></c><c r="K62" s="53"><f t="shared" si="19"/><v>7110</v></c><c r="L62" s="53"><f t="shared" si="19"/><v>0</v></c><c r="M62" s="53"><f t="shared" si="19"/><v>0</v></c><c r="N62" s="53"><f t="shared" si="19"/><v>0</v></c><c r="O62" s="53"><f t="shared" si="19"/><v>0</v></c><c r="P62" s="53"><f t="shared" si="19"/><v>0</v></c><c r="Q62" s="53"><f t="shared" si="19"/><v>0</v></c><c r="R62" s="53"><f t="shared" si="19"/><v>8880</v></c><c r="S62" s="53"><f t="shared" si="19"/><v>213563.80000000002</v></c><c r="T62" s="53"><f t="shared" si="19"/><v>0</v></c><c r="U62" s="53"><f t="shared" si="19"/><v>0</v></c><c r="V62" s="53"><f t="shared" si="19"/><v>0</v></c><c r="W62" s="53"><f t="shared" si="19"/><v>0</v></c><c r="X62" s="53"><f t="shared" si="19"/><v>0</v></c><c r="Y62" s="53"><f t="shared" si="19"/><v>0</v></c><c r="Z62" s="53"><f t="shared" si="19"/><v>0</v></c><c r="AA62" s="53"><f t="shared" si="19"/><v>0</v></c><c r="AB62" s="53"><f t="shared" si="19"/><v>0</v></c><c r="AC62" s="53"><f t="shared" si="19"/><v>213563.80000000002</v></c><c r="AD62" s="53"><f t="shared" si="19"/><v>21110.770000000019</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5" t="str"><f>Translation!A121</f><v>SECTOR DE PRODUÇÃO</v></c><c r="C66" s="303" t="str"><f>Translation!A143</f><v>FONTE DE ENERGIA PRIMÁRIA</v></c><c r="D66" s="304"/><c r="E66" s="304"/><c r="F66" s="304"/><c r="G66" s="304"/><c r="H66" s="304"/><c r="I66" s="304"/><c r="J66" s="304"/><c r="K66" s="304"/><c r="L66" s="304"/><c r="M66" s="304"/><c r="N66" s="304"/><c r="O66" s="304"/><c r="P66" s="304"/><c r="Q66" s="304"/><c r="R66" s="304"/><c r="S66" s="305"/><c r="T66" s="299"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6"/><c r="C67" s="303" t="str"><f>Translation!A99</f><v>Combustíveis fósseis</v></c><c r="D67" s="304"/><c r="E67" s="304"/><c r="F67" s="304"/><c r="G67" s="304"/><c r="H67" s="304"/><c r="I67" s="305"/><c r="J67" s="303" t="str"><f>Translation!A108</f><v>Fontes energéticas renováveis</v></c><c r="K67" s="304"/><c r="L67" s="304"/><c r="M67" s="304"/><c r="N67" s="304"/><c r="O67" s="304"/><c r="P67" s="304"/><c r="Q67" s="304"/><c r="R67" s="305"/><c r="S67" s="302" t="str"><f>Translation!A119</f><v>TOTAL</v></c><c r="T67" s="300"/><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2"/><c r="T68" s="301"/><c r="U68" s="57"/><c r="V68" s="57"/><c r="W68" s="68"/><c r="X68" s="57"/><c r="Y68" s="57"/><c r="Z68" s="57"/><c r="AA68" s="57"/><c r="AB68" s="57"/><c r="AC68" s="57"/><c r="AD68" s="57"/><c r="AE68" s="57"/></row><row r="69" spans="2:31" s="51" customFormat="1" ht="15.75" x14ac:dyDescent="0.25"><c r="B69" s="184" t="str"><f>Translation!A124</f><v>Electricidade</v></c><c r="C69" s="237"><v>490701</v></c><c r="D69" s="237"><v>9937</v></c><c r="E69" s="237"/><c r="F69" s="237"/><c r="G69" s="237"/><c r="H69" s="237"/><c r="I69" s="59"><f>SUM(C69:H69)</f><v>500638</v></c><c r="J69" s="185"><f>J59</f><v>1770</v></c><c r="K69" s="185"><f t="shared" ref="K69:P69" si="20">K59</f><v>7110</v></c><c r="L69" s="185"><f t="shared" si="20"/><v>0</v></c><c r="M69" s="185"><f t="shared" si="20"/><v>0</v></c><c r="N69" s="185"><f t="shared" si="20"/><v>0</v></c><c r="O69" s="237"/><c r="P69" s="185"><f t="shared" si="20"/><v>0</v></c><c r="Q69" s="185"/><c r="R69" s="59"><f>SUM(J69:Q69)</f><v>8880</v></c><c r="S69" s="59"><f>I69+R69</f><v>509518</v></c><c r="T69" s="71"><f>S69-AC59+AB59</f><v>295954.19999999995</v></c><c r="U69" s="57"/><c r="V69" s="57"/><c r="W69" s="58"/><c r="X69" s="57"/><c r="Y69" s="57"/><c r="Z69" s="57"/><c r="AA69" s="57"/><c r="AB69" s="57"/><c r="AC69" s="57"/><c r="AD69" s="57"/><c r="AE69" s="57"/></row><row r="70" spans="2:31" s="51" customFormat="1" ht="15.75" x14ac:dyDescent="0.25"><c r="B70" s="184" t="str"><f>Translation!A125</f><v>Calor</v></c><c r="C70" s="237"/><c r="D70" s="237"/><c r="E70" s="237"/><c r="F70" s="237"/><c r="G70" s="237"/><c r="H70" s="237"/><c r="I70" s="59"><f>SUM(C70:H70)</f><v>0</v></c><c r="J70" s="185"><f t="shared" ref="J70:P70" si="21">J60</f><v>0</v></c><c r="K70" s="185"><f t="shared" si="21"/><v>0</v></c><c r="L70" s="185"><f t="shared" si="21"/><v>0</v></c><c r="M70" s="185"><f t="shared" si="21"/><v>0</v></c><c r="N70" s="185"><f t="shared" si="21"/><v>0</v></c><c r="O70" s="237"/><c r="P70" s="185"><f t="shared" si="21"/><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2">SUM(C69:C71)</f><v>490701</v></c><c r="D72" s="53"><f t="shared" si="22"/><v>9937</v></c><c r="E72" s="53"><f t="shared" si="22"/><v>0</v></c><c r="F72" s="53"><f t="shared" si="22"/><v>0</v></c><c r="G72" s="53"><f t="shared" si="22"/><v>0</v></c><c r="H72" s="53"><f t="shared" si="22"/><v>0</v></c><c r="I72" s="53"><f t="shared" si="22"/><v>500638</v></c><c r="J72" s="53"><f t="shared" si="22"/><v>1770</v></c><c r="K72" s="53"><f t="shared" si="22"/><v>7110</v></c><c r="L72" s="53"><f t="shared" si="22"/><v>0</v></c><c r="M72" s="53"><f t="shared" si="22"/><v>0</v></c><c r="N72" s="53"><f t="shared" si="22"/><v>0</v></c><c r="O72" s="53"><f t="shared" si="22"/><v>0</v></c><c r="P72" s="53"><f t="shared" si="22"/><v>0</v></c><c r="Q72" s="53"><f t="shared" si="22"/><v>0</v></c><c r="R72" s="53"><f t="shared" si="22"/><v>8880</v></c><c r="S72" s="53"><f t="shared" si="22"/><v>509518</v></c><c r="T72" s="71"><f>S72-AC62+AB62</f><v>295954.19999999995</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8" t="str"><f>Translation!A123</f><v>Produto energético</v></c><c r="C76" s="277" t="str"><f>Translation!A143</f><v>FONTE DE ENERGIA PRIMÁRIA</v></c><c r="D76" s="278"/><c r="E76" s="278"/><c r="F76" s="278"/><c r="G76" s="278"/><c r="H76" s="278"/><c r="I76" s="278"/><c r="J76" s="278"/><c r="K76" s="278"/><c r="L76" s="278"/><c r="M76" s="278"/><c r="N76" s="278"/><c r="O76" s="278"/><c r="P76" s="278"/><c r="Q76" s="278"/><c r="R76" s="278"/><c r="S76" s="278"/><c r="T76" s="278"/><c r="U76" s="278"/><c r="V76" s="278"/><c r="W76" s="278"/><c r="X76" s="278"/><c r="Y76" s="279"/></row><row r="77" spans="2:31" s="51" customFormat="1" ht="15" customHeight="1" x14ac:dyDescent="0.25"><c r="B77" s="319"/><c r="C77" s="277" t="str"><f>Translation!A99</f><v>Combustíveis fósseis</v></c><c r="D77" s="278"/><c r="E77" s="278"/><c r="F77" s="278"/><c r="G77" s="278"/><c r="H77" s="278"/><c r="I77" s="279"/><c r="J77" s="277" t="str"><f>Translation!A108</f><v>Fontes energéticas renováveis</v></c><c r="K77" s="278"/><c r="L77" s="278"/><c r="M77" s="278"/><c r="N77" s="278"/><c r="O77" s="278"/><c r="P77" s="278"/><c r="Q77" s="278"/><c r="R77" s="279"/><c r="S77" s="296" t="str"><f>Translation!A124</f><v>Electricidade</v></c><c r="T77" s="297"/><c r="U77" s="297"/><c r="V77" s="298"/><c r="W77" s="70" t="str"><f>Translation!A125</f><v>Calor</v></c><c r="X77" s="70" t="str"><f>Translation!A126</f><v>Frio</v></c><c r="Y77" s="275" t="str"><f>Translation!A119</f><v>TOTAL</v></c></row><row r="78" spans="2:31" s="51" customFormat="1" ht="46.5" customHeight="1" x14ac:dyDescent="0.25"><c r="B78" s="320"/><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6"/></row><row r="79" spans="2:31" s="51" customFormat="1" ht="15.75" x14ac:dyDescent="0.25"><c r="B79" s="107" t="str"><f>Translation!A119</f><v>TOTAL</v></c><c r="C79" s="186"><f t="shared" ref="C79:H79" si="23">G48+C72</f><v>545702</v></c><c r="D79" s="186"><f t="shared" si="23"/><v>292730</v></c><c r="E79" s="186"><f t="shared" si="23"/><v>98531</v></c><c r="F79" s="186"><f t="shared" si="23"/><v>67945</v></c><c r="G79" s="186"><f t="shared" si="23"/><v>0</v></c><c r="H79" s="186"><f t="shared" si="23"/><v>0</v></c><c r="I79" s="53"><f>SUM(C79:H79)</f><v>1004908</v></c><c r="J79" s="186"><f t="shared" ref="J79:O79" si="24">N48+J72</f><v>1770</v></c><c r="K79" s="186"><f t="shared" si="24"/><v>7110</v></c><c r="L79" s="186"><f t="shared" si="24"/><v>0</v></c><c r="M79" s="186"><f t="shared" si="24"/><v>0</v></c><c r="N79" s="186"><f t="shared" si="24"/><v>0</v></c><c r="O79" s="186"><f t="shared" si="24"/><v>0</v></c><c r="P79" s="186"><f>P72</f><v>0</v></c><c r="Q79" s="186"><f>Q72</f><v>0</v></c><c r="R79" s="53"><f>SUM(J79:Q79)</f><v>8880</v></c><c r="S79" s="186"><f>Y62</f><v>0</v></c><c r="T79" s="186"><f>Z62</f><v>0</v></c><c r="U79" s="186"><f>$C$49+$C$50+$C$51</f><v>0</v></c><c r="V79" s="53"><f>S79-T79-U79</f><v>0</v></c><c r="W79" s="186"><f>$D$49+$D$50+$D$51</f><v>0</v></c><c r="X79" s="186"><f>$E$49+$E$50+$E$51</f><v>0</v></c><c r="Y79" s="53"><f>I79+R79+V79-W79-X79</f><v>1013788</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5" t="str"><f>Translation!A121</f><v>SECTOR DE PRODUÇÃO</v></c><c r="C83" s="303" t="str"><f>Translation!A143</f><v>FONTE DE ENERGIA PRIMÁRIA</v></c><c r="D83" s="304"/><c r="E83" s="304"/><c r="F83" s="304"/><c r="G83" s="304"/><c r="H83" s="304"/><c r="I83" s="304"/><c r="J83" s="304"/><c r="K83" s="304"/><c r="L83" s="304"/><c r="M83" s="304"/><c r="N83" s="304"/><c r="O83" s="304"/><c r="P83" s="304"/><c r="Q83" s="304"/><c r="R83" s="304"/><c r="S83" s="305"/><c r="T83" s="68"/><c r="V83" s="57"/><c r="W83" s="57"/><c r="X83" s="68"/><c r="Y83" s="57"/><c r="Z83" s="57"/><c r="AA83" s="57"/><c r="AB83" s="57"/><c r="AC83" s="57"/><c r="AD83" s="57"/><c r="AE83" s="57"/><c r="AF83" s="57"/></row><row r="84" spans="1:32" s="51" customFormat="1" ht="15" customHeight="1" x14ac:dyDescent="0.25"><c r="B84" s="276"/><c r="C84" s="303" t="str"><f>Translation!A99</f><v>Combustíveis fósseis</v></c><c r="D84" s="304"/><c r="E84" s="304"/><c r="F84" s="304"/><c r="G84" s="304"/><c r="H84" s="304"/><c r="I84" s="305"/><c r="J84" s="303" t="str"><f>Translation!A108</f><v>Fontes energéticas renováveis</v></c><c r="K84" s="304"/><c r="L84" s="304"/><c r="M84" s="304"/><c r="N84" s="304"/><c r="O84" s="304"/><c r="P84" s="304"/><c r="Q84" s="304"/><c r="R84" s="305"/><c r="S84" s="302"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2"/><c r="T85" s="68"/><c r="V85" s="57"/><c r="W85" s="57"/><c r="X85" s="68"/><c r="Y85" s="57"/><c r="Z85" s="57"/><c r="AA85" s="57"/><c r="AB85" s="57"/><c r="AC85" s="57"/><c r="AD85" s="57"/><c r="AE85" s="57"/><c r="AF85" s="57"/></row><row r="86" spans="1:32" s="51" customFormat="1" ht="15.75" x14ac:dyDescent="0.25"><c r="B86" s="184" t="str"><f>Translation!A124</f><v>Electricidade</v></c><c r="C86" s="188"><f t="shared" ref="C86:P86" si="25">IF(C69&gt;0,C59/C69,"-")</f><v>0.40899875891836374</v></c><c r="D86" s="188"><f t="shared" si="25"/><v>0.40129817852470562</v></c><c r="E86" s="188" t="str"><f t="shared" si="25"/><v>-</v></c><c r="F86" s="188" t="str"><f t="shared" si="25"/><v>-</v></c><c r="G86" s="188" t="str"><f t="shared" si="25"/><v>-</v></c><c r="H86" s="188" t="str"><f t="shared" si="25"/><v>-</v></c><c r="I86" s="67"><f t="shared" si="25"/><v>0.40884591261550263</v></c><c r="J86" s="188"><f t="shared" si="25"/><v>1</v></c><c r="K86" s="188"><f t="shared" si="25"/><v>1</v></c><c r="L86" s="188" t="str"><f t="shared" si="25"/><v>-</v></c><c r="M86" s="188" t="str"><f t="shared" si="25"/><v>-</v></c><c r="N86" s="188" t="str"><f t="shared" si="25"/><v>-</v></c><c r="O86" s="188" t="str"><f t="shared" si="25"/><v>-</v></c><c r="P86" s="188" t="str"><f t="shared" si="25"/><v>-</v></c><c r="Q86" s="188" t="s"><v>522</v></c><c r="R86" s="67"><f t="shared" ref="R86:S88" si="26">IF(R69&gt;0,R59/R69,"-")</f><v>1</v></c><c r="S86" s="67"><f t="shared" si="26"/><v>0.41914868562052765</v></c><c r="T86" s="58"/><c r="V86" s="57"/><c r="W86" s="57"/><c r="X86" s="58"/><c r="Y86" s="57"/><c r="Z86" s="57"/><c r="AA86" s="57"/><c r="AB86" s="57"/><c r="AC86" s="57"/><c r="AD86" s="57"/><c r="AE86" s="57"/><c r="AF86" s="57"/></row><row r="87" spans="1:32" s="51" customFormat="1" ht="15.75" x14ac:dyDescent="0.25"><c r="B87" s="184" t="str"><f>Translation!A125</f><v>Calor</v></c><c r="C87" s="188" t="str"><f t="shared" ref="C87:P87" si="27">IF(C70&gt;0,C60/C70,"-")</f><v>-</v></c><c r="D87" s="188" t="str"><f t="shared" si="27"/><v>-</v></c><c r="E87" s="188" t="str"><f t="shared" si="27"/><v>-</v></c><c r="F87" s="188" t="str"><f t="shared" si="27"/><v>-</v></c><c r="G87" s="188" t="str"><f t="shared" si="27"/><v>-</v></c><c r="H87" s="188" t="str"><f t="shared" si="27"/><v>-</v></c><c r="I87" s="67" t="str"><f t="shared" si="27"/><v>-</v></c><c r="J87" s="188" t="str"><f t="shared" si="27"/><v>-</v></c><c r="K87" s="188" t="str"><f t="shared" si="27"/><v>-</v></c><c r="L87" s="188" t="str"><f t="shared" si="27"/><v>-</v></c><c r="M87" s="188" t="str"><f t="shared" si="27"/><v>-</v></c><c r="N87" s="188" t="str"><f t="shared" si="27"/><v>-</v></c><c r="O87" s="188" t="str"><f t="shared" si="27"/><v>-</v></c><c r="P87" s="188" t="str"><f t="shared" si="27"/><v>-</v></c><c r="Q87" s="188" t="s"><v>522</v></c><c r="R87" s="67" t="str"><f t="shared" si="26"/><v>-</v></c><c r="S87" s="67" t="str"><f t="shared" si="26"/><v>-</v></c><c r="T87" s="58"/><c r="V87" s="57"/><c r="W87" s="57"/><c r="X87" s="58"/><c r="Y87" s="57"/><c r="Z87" s="57"/><c r="AA87" s="57"/><c r="AB87" s="57"/><c r="AC87" s="57"/><c r="AD87" s="57"/><c r="AE87" s="57"/><c r="AF87" s="57"/></row><row r="88" spans="1:32" s="51" customFormat="1" ht="15.75" x14ac:dyDescent="0.25"><c r="B88" s="184" t="str"><f>Translation!A126</f><v>Frio</v></c><c r="C88" s="188" t="str"><f t="shared" ref="C88:P88" si="28">IF(C71&gt;0,C61/C71,"-")</f><v>-</v></c><c r="D88" s="188" t="str"><f t="shared" si="28"/><v>-</v></c><c r="E88" s="188" t="str"><f t="shared" si="28"/><v>-</v></c><c r="F88" s="188" t="str"><f t="shared" si="28"/><v>-</v></c><c r="G88" s="188" t="str"><f t="shared" si="28"/><v>-</v></c><c r="H88" s="188" t="str"><f t="shared" si="28"/><v>-</v></c><c r="I88" s="67" t="str"><f t="shared" si="28"/><v>-</v></c><c r="J88" s="188" t="str"><f t="shared" si="28"/><v>-</v></c><c r="K88" s="188" t="str"><f t="shared" si="28"/><v>-</v></c><c r="L88" s="188" t="str"><f t="shared" si="28"/><v>-</v></c><c r="M88" s="188" t="str"><f t="shared" si="28"/><v>-</v></c><c r="N88" s="188" t="str"><f t="shared" si="28"/><v>-</v></c><c r="O88" s="188" t="str"><f t="shared" si="28"/><v>-</v></c><c r="P88" s="188" t="str"><f t="shared" si="28"/><v>-</v></c><c r="Q88" s="188" t="s"><v>522</v></c><c r="R88" s="67" t="str"><f t="shared" si="26"/><v>-</v></c><c r="S88" s="67" t="str"><f t="shared" si="26"/><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6" t="str"><f>Translation!A56</f><v>SECTOR DE PROCURA</v></c><c r="C92" s="280" t="str"><f>Translation!A94</f><v>ENERGIA PARA CONSUMO FINAL</v></c><c r="D92" s="281"/><c r="E92" s="281"/><c r="F92" s="281"/><c r="G92" s="281"/><c r="H92" s="281"/><c r="I92" s="281"/><c r="J92" s="281"/><c r="K92" s="281"/><c r="L92" s="281"/><c r="M92" s="281"/><c r="N92" s="281"/><c r="O92" s="281"/><c r="P92" s="281"/><c r="Q92" s="281"/><c r="R92" s="281"/><c r="S92" s="281"/><c r="T92" s="281"/><c r="U92" s="282"/></row><row r="93" spans="1:32" s="51" customFormat="1" ht="18" customHeight="1" x14ac:dyDescent="0.25"><c r="B93" s="307"/><c r="C93" s="280" t="str"><f>Translation!A95</f><v>Serviços energéticos centralizados</v></c><c r="D93" s="281"/><c r="E93" s="281"/><c r="F93" s="282"/><c r="G93" s="280" t="str"><f>Translation!A99</f><v>Combustíveis fósseis</v></c><c r="H93" s="281"/><c r="I93" s="281"/><c r="J93" s="281"/><c r="K93" s="281"/><c r="L93" s="281"/><c r="M93" s="282"/><c r="N93" s="280" t="str"><f>Translation!A106</f><v>Fontes energéticas renováveis (excluindo electricidade e calor para venda a redes públicas)</v></c><c r="O93" s="281"/><c r="P93" s="281"/><c r="Q93" s="281"/><c r="R93" s="281"/><c r="S93" s="281"/><c r="T93" s="282"/><c r="U93" s="289"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91"/></row><row r="95" spans="1:32" s="21" customFormat="1" ht="15.75" x14ac:dyDescent="0.25"><c r="A95" s="22"/><c r="B95" s="66" t="str"><f>Translation!A60</f><v>RESIDENCIAL</v></c><c r="C95" s="64"><f>SUM(C96:C104)</f><v>45784.747647913267</v></c><c r="D95" s="64"><f>SUM(D96:D104)</f><v>0</v></c><c r="E95" s="64"><f>SUM(E96:E104)</f><v>0</v></c><c r="F95" s="64"><f t="shared" ref="F95:F126" si="29">SUM(C95:E95)</f><v>45784.747647913267</v></c><c r="G95" s="64"><f t="shared" ref="G95:L95" si="30">SUM(G96:G104)</f><v>0</v></c><c r="H95" s="64"><f t="shared" si="30"/><v>0</v></c><c r="I95" s="64"><f t="shared" si="30"/><v>0</v></c><c r="J95" s="64"><f t="shared" si="30"/><v>16306.8</v></c><c r="K95" s="64"><f t="shared" si="30"/><v>0</v></c><c r="L95" s="64"><f t="shared" si="30"/><v>0</v></c><c r="M95" s="64"><f t="shared" ref="M95:M126" si="31">SUM(G95:L95)</f><v>16306.8</v></c><c r="N95" s="64"><f t="shared" ref="N95:S95" si="32">SUM(N96:N104)</f><v>0</v></c><c r="O95" s="64"><f t="shared" si="32"/><v>0</v></c><c r="P95" s="64"><f t="shared" si="32"/><v>0</v></c><c r="Q95" s="64"><f t="shared" si="32"/><v>0</v></c><c r="R95" s="64"><f t="shared" si="32"/><v>0</v></c><c r="S95" s="64"><f t="shared" si="32"/><v>0</v></c><c r="T95" s="64"><f t="shared" ref="T95:T126" si="33">SUM(N95:S95)</f><v>0</v></c><c r="U95" s="64"><f t="shared" ref="U95:U126" si="34">F95+M95+T95</f><v>62091.547647913263</v></c></row><row r="96" spans="1:32" s="21" customFormat="1" ht="15.75" x14ac:dyDescent="0.25"><c r="A96" s="22"/><c r="B96" s="182" t="str"><f>Translation!A61</f><v>Água quente</v></c><c r="C96" s="185"><f t="shared" ref="C96:C104" si="35">IF(AND(C$48&gt;0,($S$133+$V$143)&gt;0), ($S$133+$V$143)/C$48,0)*C18</f><v>45784.747647913267</v></c><c r="D96" s="185"><f t="shared" ref="D96:D104" si="36">IF(AND(D$48&gt;0,$S$134&gt;0), ($S$134)/D$48,0)*D18</f><v>0</v></c><c r="E96" s="185"><f t="shared" ref="E96:E104" si="37">IF(AND(E$48&gt;0,$S$135&gt;0), ($S$135)/E$48,0)*E18</f><v>0</v></c><c r="F96" s="64"><f t="shared" si="29"/><v>45784.747647913267</v></c><c r="G96" s="185"><f>'CO2 factors'!C$7*G18</f><v>0</v></c><c r="H96" s="185"><f>'CO2 factors'!D$7*H18</f><v>0</v></c><c r="I96" s="185"><f>'CO2 factors'!E$7*I18</f><v>0</v></c><c r="J96" s="185"><f>'CO2 factors'!F$7*J18</f><v>16306.8</v></c><c r="K96" s="185"><f>'CO2 factors'!G$7*K18</f><v>0</v></c><c r="L96" s="185"><f>'CO2 factors'!H$7*L18</f><v>0</v></c><c r="M96" s="64"><f t="shared" si="31"/><v>16306.8</v></c><c r="N96" s="185"><f>'CO2 factors'!J$7*N18</f><v>0</v></c><c r="O96" s="185"><f>'CO2 factors'!K$7*O18</f><v>0</v></c><c r="P96" s="185"><f>'CO2 factors'!L$7*P18</f><v>0</v></c><c r="Q96" s="185"><f>'CO2 factors'!M$7*Q18</f><v>0</v></c><c r="R96" s="185"><f>'CO2 factors'!N$7*R18</f><v>0</v></c><c r="S96" s="185"><f>'CO2 factors'!O$7*S18</f><v>0</v></c><c r="T96" s="64"><f t="shared" si="33"/><v>0</v></c><c r="U96" s="64"><f t="shared" si="34"/><v>62091.547647913263</v></c></row><row r="97" spans="1:21" s="21" customFormat="1" ht="15.75" x14ac:dyDescent="0.25"><c r="A97" s="22"/><c r="B97" s="182" t="str"><f>Translation!A62</f><v>Aquecimento e arrefecimento</v></c><c r="C97" s="185"><f t="shared" si="35"/><v>0</v></c><c r="D97" s="185"><f t="shared" si="36"/><v>0</v></c><c r="E97" s="185"><f t="shared" si="37"/><v>0</v></c><c r="F97" s="64"><f t="shared" si="29"/><v>0</v></c><c r="G97" s="185"><f>'CO2 factors'!C$7*G19</f><v>0</v></c><c r="H97" s="185"><f>'CO2 factors'!D$7*H19</f><v>0</v></c><c r="I97" s="185"><f>'CO2 factors'!E$7*I19</f><v>0</v></c><c r="J97" s="185"><f>'CO2 factors'!F$7*J19</f><v>0</v></c><c r="K97" s="185"><f>'CO2 factors'!G$7*K19</f><v>0</v></c><c r="L97" s="185"><f>'CO2 factors'!H$7*L19</f><v>0</v></c><c r="M97" s="64"><f t="shared" si="31"/><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Iluminação</v></c><c r="C98" s="185"><f t="shared" si="35"/><v>0</v></c><c r="D98" s="185"><f t="shared" si="36"/><v>0</v></c><c r="E98" s="185"><f t="shared" si="37"/><v>0</v></c><c r="F98" s="64"><f t="shared" si="29"/><v>0</v></c><c r="G98" s="185"><f>'CO2 factors'!C$7*G20</f><v>0</v></c><c r="H98" s="185"><f>'CO2 factors'!D$7*H20</f><v>0</v></c><c r="I98" s="185"><f>'CO2 factors'!E$7*I20</f><v>0</v></c><c r="J98" s="185"><f>'CO2 factors'!F$7*J20</f><v>0</v></c><c r="K98" s="185"><f>'CO2 factors'!G$7*K20</f><v>0</v></c><c r="L98" s="185"><f>'CO2 factors'!H$7*L20</f><v>0</v></c><c r="M98" s="64"><f t="shared" si="31"/><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Cozinha</v></c><c r="C99" s="185"><f t="shared" si="35"/><v>0</v></c><c r="D99" s="185"><f t="shared" si="36"/><v>0</v></c><c r="E99" s="185"><f t="shared" si="37"/><v>0</v></c><c r="F99" s="64"><f t="shared" si="29"/><v>0</v></c><c r="G99" s="185"><f>'CO2 factors'!C$7*G21</f><v>0</v></c><c r="H99" s="185"><f>'CO2 factors'!D$7*H21</f><v>0</v></c><c r="I99" s="185"><f>'CO2 factors'!E$7*I21</f><v>0</v></c><c r="J99" s="185"><f>'CO2 factors'!F$7*J21</f><v>0</v></c><c r="K99" s="185"><f>'CO2 factors'!G$7*K21</f><v>0</v></c><c r="L99" s="185"><f>'CO2 factors'!H$7*L21</f><v>0</v></c><c r="M99" s="64"><f t="shared" si="31"/><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Frigoríficos e congeladores</v></c><c r="C100" s="185"><f t="shared" si="35"/><v>0</v></c><c r="D100" s="185"><f t="shared" si="36"/><v>0</v></c><c r="E100" s="185"><f t="shared" si="37"/><v>0</v></c><c r="F100" s="64"><f t="shared" si="29"/><v>0</v></c><c r="G100" s="185"><f>'CO2 factors'!C$7*G22</f><v>0</v></c><c r="H100" s="185"><f>'CO2 factors'!D$7*H22</f><v>0</v></c><c r="I100" s="185"><f>'CO2 factors'!E$7*I22</f><v>0</v></c><c r="J100" s="185"><f>'CO2 factors'!F$7*J22</f><v>0</v></c><c r="K100" s="185"><f>'CO2 factors'!G$7*K22</f><v>0</v></c><c r="L100" s="185"><f>'CO2 factors'!H$7*L22</f><v>0</v></c><c r="M100" s="64"><f t="shared" si="31"/><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Máquinas de lavar e secar roupa</v></c><c r="C101" s="185"><f t="shared" si="35"/><v>0</v></c><c r="D101" s="185"><f t="shared" si="36"/><v>0</v></c><c r="E101" s="185"><f t="shared" si="37"/><v>0</v></c><c r="F101" s="64"><f t="shared" si="29"/><v>0</v></c><c r="G101" s="185"><f>'CO2 factors'!C$7*G23</f><v>0</v></c><c r="H101" s="185"><f>'CO2 factors'!D$7*H23</f><v>0</v></c><c r="I101" s="185"><f>'CO2 factors'!E$7*I23</f><v>0</v></c><c r="J101" s="185"><f>'CO2 factors'!F$7*J23</f><v>0</v></c><c r="K101" s="185"><f>'CO2 factors'!G$7*K23</f><v>0</v></c><c r="L101" s="185"><f>'CO2 factors'!H$7*L23</f><v>0</v></c><c r="M101" s="64"><f t="shared" si="31"/><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Máquinas de lavar louça</v></c><c r="C102" s="185"><f t="shared" si="35"/><v>0</v></c><c r="D102" s="185"><f t="shared" si="36"/><v>0</v></c><c r="E102" s="185"><f t="shared" si="37"/><v>0</v></c><c r="F102" s="64"><f t="shared" si="29"/><v>0</v></c><c r="G102" s="185"><f>'CO2 factors'!C$7*G24</f><v>0</v></c><c r="H102" s="185"><f>'CO2 factors'!D$7*H24</f><v>0</v></c><c r="I102" s="185"><f>'CO2 factors'!E$7*I24</f><v>0</v></c><c r="J102" s="185"><f>'CO2 factors'!F$7*J24</f><v>0</v></c><c r="K102" s="185"><f>'CO2 factors'!G$7*K24</f><v>0</v></c><c r="L102" s="185"><f>'CO2 factors'!H$7*L24</f><v>0</v></c><c r="M102" s="64"><f t="shared" si="31"/><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Televisores</v></c><c r="C103" s="185"><f t="shared" si="35"/><v>0</v></c><c r="D103" s="185"><f t="shared" si="36"/><v>0</v></c><c r="E103" s="185"><f t="shared" si="37"/><v>0</v></c><c r="F103" s="64"><f t="shared" si="29"/><v>0</v></c><c r="G103" s="185"><f>'CO2 factors'!C$7*G25</f><v>0</v></c><c r="H103" s="185"><f>'CO2 factors'!D$7*H25</f><v>0</v></c><c r="I103" s="185"><f>'CO2 factors'!E$7*I25</f><v>0</v></c><c r="J103" s="185"><f>'CO2 factors'!F$7*J25</f><v>0</v></c><c r="K103" s="185"><f>'CO2 factors'!G$7*K25</f><v>0</v></c><c r="L103" s="185"><f>'CO2 factors'!H$7*L25</f><v>0</v></c><c r="M103" s="64"><f t="shared" si="31"/><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Outros aparelhos eléctricos</v></c><c r="C104" s="185"><f t="shared" si="35"/><v>0</v></c><c r="D104" s="185"><f t="shared" si="36"/><v>0</v></c><c r="E104" s="185"><f t="shared" si="37"/><v>0</v></c><c r="F104" s="64"><f t="shared" si="29"/><v>0</v></c><c r="G104" s="185"><f>'CO2 factors'!C$7*G26</f><v>0</v></c><c r="H104" s="185"><f>'CO2 factors'!D$7*H26</f><v>0</v></c><c r="I104" s="185"><f>'CO2 factors'!E$7*I26</f><v>0</v></c><c r="J104" s="185"><f>'CO2 factors'!F$7*J26</f><v>0</v></c><c r="K104" s="185"><f>'CO2 factors'!G$7*K26</f><v>0</v></c><c r="L104" s="185"><f>'CO2 factors'!H$7*L26</f><v>0</v></c><c r="M104" s="64"><f t="shared" si="31"/><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SECTOR PRIMÁRIO</v></c><c r="C105" s="64"><f>SUM(C106:C107)</f><v>1818.3324299180952</v></c><c r="D105" s="64"><f>SUM(D106:D107)</f><v>0</v></c><c r="E105" s="64"><f>SUM(E106:E107)</f><v>0</v></c><c r="F105" s="64"><f t="shared" si="29"/><v>1818.3324299180952</v></c><c r="G105" s="64"><f t="shared" ref="G105:L105" si="38">SUM(G106:G107)</f><v>0</v></c><c r="H105" s="64"><f t="shared" si="38"/><v>16524.363000000001</v></c><c r="I105" s="64"><f t="shared" si="38"/><v>0</v></c><c r="J105" s="64"><f t="shared" si="38"/><v>0</v></c><c r="K105" s="64"><f t="shared" si="38"/><v>0</v></c><c r="L105" s="64"><f t="shared" si="38"/><v>0</v></c><c r="M105" s="64"><f t="shared" si="31"/><v>16524.363000000001</v></c><c r="N105" s="64"><f t="shared" ref="N105:S105" si="39">SUM(N106:N107)</f><v>0</v></c><c r="O105" s="64"><f t="shared" si="39"/><v>0</v></c><c r="P105" s="64"><f t="shared" si="39"/><v>0</v></c><c r="Q105" s="64"><f t="shared" si="39"/><v>0</v></c><c r="R105" s="64"><f t="shared" si="39"/><v>0</v></c><c r="S105" s="64"><f t="shared" si="39"/><v>0</v></c><c r="T105" s="64"><f t="shared" si="33"/><v>0</v></c><c r="U105" s="64"><f t="shared" si="34"/><v>18342.695429918098</v></c></row><row r="106" spans="1:21" s="21" customFormat="1" ht="15.75" x14ac:dyDescent="0.25"><c r="A106" s="22"/><c r="B106" s="183" t="str"><f>Translation!A71</f><v>Agricultura, produção animal, caça, floresta e pesca</v></c><c r="C106" s="185"><f>IF(AND(C$48&gt;0,($S$133+$V$143)&gt;0), ($S$133+$V$143)/C$48,0)*C28</f><v>1707.5718734492259</v></c><c r="D106" s="185"><f>IF(AND(D$48&gt;0,$S$134&gt;0), ($S$134)/D$48,0)*D28</f><v>0</v></c><c r="E106" s="185"><f>IF(AND(E$48&gt;0,$S$135&gt;0), ($S$135)/E$48,0)*E28</f><v>0</v></c><c r="F106" s="64"><f t="shared" si="29"/><v>1707.5718734492259</v></c><c r="G106" s="185"><f>'CO2 factors'!C$7*G28</f><v>0</v></c><c r="H106" s="185"><f>'CO2 factors'!D$7*H28</f><v>16524.363000000001</v></c><c r="I106" s="185"><f>'CO2 factors'!E$7*I28</f><v>0</v></c><c r="J106" s="185"><f>'CO2 factors'!F$7*J28</f><v>0</v></c><c r="K106" s="185"><f>'CO2 factors'!G$7*K28</f><v>0</v></c><c r="L106" s="185"><f>'CO2 factors'!H$7*L28</f><v>0</v></c><c r="M106" s="64"><f t="shared" si="31"/><v>16524.363000000001</v></c><c r="N106" s="185"><f>'CO2 factors'!J$7*N28</f><v>0</v></c><c r="O106" s="185"><f>'CO2 factors'!K$7*O28</f><v>0</v></c><c r="P106" s="185"><f>'CO2 factors'!L$7*P28</f><v>0</v></c><c r="Q106" s="185"><f>'CO2 factors'!M$7*Q28</f><v>0</v></c><c r="R106" s="185"><f>'CO2 factors'!N$7*R28</f><v>0</v></c><c r="S106" s="185"><f>'CO2 factors'!O$7*S28</f><v>0</v></c><c r="T106" s="64"><f t="shared" si="33"/><v>0</v></c><c r="U106" s="64"><f t="shared" si="34"/><v>18231.934873449227</v></c></row><row r="107" spans="1:21" s="21" customFormat="1" ht="15.75" x14ac:dyDescent="0.25"><c r="A107" s="22"/><c r="B107" s="183" t="str"><f>Translation!A72</f><v>Indústrias extractivas</v></c><c r="C107" s="185"><f>IF(AND(C$48&gt;0,($S$133+$V$143)&gt;0), ($S$133+$V$143)/C$48,0)*C29</f><v>110.76055646886934</v></c><c r="D107" s="185"><f>IF(AND(D$48&gt;0,$S$134&gt;0), ($S$134)/D$48,0)*D29</f><v>0</v></c><c r="E107" s="185"><f>IF(AND(E$48&gt;0,$S$135&gt;0), ($S$135)/E$48,0)*E29</f><v>0</v></c><c r="F107" s="64"><f t="shared" si="29"/><v>110.76055646886934</v></c><c r="G107" s="185"><f>'CO2 factors'!C$7*G29</f><v>0</v></c><c r="H107" s="185"><f>'CO2 factors'!D$7*H29</f><v>0</v></c><c r="I107" s="185"><f>'CO2 factors'!E$7*I29</f><v>0</v></c><c r="J107" s="185"><f>'CO2 factors'!F$7*J29</f><v>0</v></c><c r="K107" s="185"><f>'CO2 factors'!G$7*K29</f><v>0</v></c><c r="L107" s="185"><f>'CO2 factors'!H$7*L29</f><v>0</v></c><c r="M107" s="64"><f t="shared" si="31"/><v>0</v></c><c r="N107" s="185"><f>'CO2 factors'!J$7*N29</f><v>0</v></c><c r="O107" s="185"><f>'CO2 factors'!K$7*O29</f><v>0</v></c><c r="P107" s="185"><f>'CO2 factors'!L$7*P29</f><v>0</v></c><c r="Q107" s="185"><f>'CO2 factors'!M$7*Q29</f><v>0</v></c><c r="R107" s="185"><f>'CO2 factors'!N$7*R29</f><v>0</v></c><c r="S107" s="185"><f>'CO2 factors'!O$7*S29</f><v>0</v></c><c r="T107" s="64"><f t="shared" si="33"/><v>0</v></c><c r="U107" s="64"><f t="shared" si="34"/><v>110.76055646886934</v></c></row><row r="108" spans="1:21" s="21" customFormat="1" ht="15.75" x14ac:dyDescent="0.25"><c r="A108" s="22"/><c r="B108" s="61" t="str"><f>Translation!A73</f><v>SECTOR SECUNDÁRIO</v></c><c r="C108" s="64"><f>SUM(C109:C111)</f><v>16756.047554001412</v></c><c r="D108" s="64"><f>SUM(D109:D111)</f><v>0</v></c><c r="E108" s="64"><f>SUM(E109:E111)</f><v>0</v></c><c r="F108" s="64"><f t="shared" si="29"/><v>16756.047554001412</v></c><c r="G108" s="64"><f t="shared" ref="G108:L108" si="40">SUM(G109:G111)</f><v>15345.279000000002</v></c><c r="H108" s="64"><f t="shared" si="40"/><v>0</v></c><c r="I108" s="64"><f t="shared" si="40"/><v>0</v></c><c r="J108" s="64"><f t="shared" si="40"/><v>0</v></c><c r="K108" s="64"><f t="shared" si="40"/><v>0</v></c><c r="L108" s="64"><f t="shared" si="40"/><v>0</v></c><c r="M108" s="64"><f t="shared" si="31"/><v>15345.279000000002</v></c><c r="N108" s="64"><f t="shared" ref="N108:S108" si="41">SUM(N109:N111)</f><v>0</v></c><c r="O108" s="64"><f t="shared" si="41"/><v>0</v></c><c r="P108" s="64"><f t="shared" si="41"/><v>0</v></c><c r="Q108" s="64"><f t="shared" si="41"/><v>0</v></c><c r="R108" s="64"><f t="shared" si="41"/><v>0</v></c><c r="S108" s="64"><f t="shared" si="41"/><v>0</v></c><c r="T108" s="64"><f t="shared" si="33"/><v>0</v></c><c r="U108" s="64"><f t="shared" si="34"/><v>32101.326554001414</v></c></row><row r="109" spans="1:21" s="21" customFormat="1" ht="15.75" x14ac:dyDescent="0.25"><c r="A109" s="22"/><c r="B109" s="183" t="str"><f>Translation!A74</f><v>Indústrias transformadoras</v></c><c r="C109" s="185"><f>IF(AND(C$48&gt;0,($S$133+$V$143)&gt;0), ($S$133+$V$143)/C$48,0)*C31</f><v>14073.35639101645</v></c><c r="D109" s="185"><f>IF(AND(D$48&gt;0,$S$134&gt;0), ($S$134)/D$48,0)*D31</f><v>0</v></c><c r="E109" s="185"><f>IF(AND(E$48&gt;0,$S$135&gt;0), ($S$135)/E$48,0)*E31</f><v>0</v></c><c r="F109" s="64"><f t="shared" si="29"/><v>14073.35639101645</v></c><c r="G109" s="185"><f>'CO2 factors'!C$7*G31</f><v>15345.279000000002</v></c><c r="H109" s="185"><f>'CO2 factors'!D$7*H31</f><v>0</v></c><c r="I109" s="185"><f>'CO2 factors'!E$7*I31</f><v>0</v></c><c r="J109" s="185"><f>'CO2 factors'!F$7*J31</f><v>0</v></c><c r="K109" s="185"><f>'CO2 factors'!G$7*K31</f><v>0</v></c><c r="L109" s="185"><f>'CO2 factors'!H$7*L31</f><v>0</v></c><c r="M109" s="64"><f t="shared" si="31"/><v>15345.279000000002</v></c><c r="N109" s="185"><f>'CO2 factors'!J$7*N31</f><v>0</v></c><c r="O109" s="185"><f>'CO2 factors'!K$7*O31</f><v>0</v></c><c r="P109" s="185"><f>'CO2 factors'!L$7*P31</f><v>0</v></c><c r="Q109" s="185"><f>'CO2 factors'!M$7*Q31</f><v>0</v></c><c r="R109" s="185"><f>'CO2 factors'!N$7*R31</f><v>0</v></c><c r="S109" s="185"><f>'CO2 factors'!O$7*S31</f><v>0</v></c><c r="T109" s="64"><f t="shared" si="33"/><v>0</v></c><c r="U109" s="64"><f t="shared" si="34"/><v>29418.635391016454</v></c></row><row r="110" spans="1:21" s="21" customFormat="1" ht="45" x14ac:dyDescent="0.25"><c r="A110" s="22"/><c r="B110" s="183" t="str"><f>Translation!A75</f><v>Captação, tratamento e distribuição de água; saneamento, gestão de resíduos
e despoluição</v></c><c r="C110" s="185"><f>IF(AND(C$48&gt;0,($S$133+$V$143)&gt;0), ($S$133+$V$143)/C$48,0)*C32</f><v>1166.9887123201959</v></c><c r="D110" s="185"><f>IF(AND(D$48&gt;0,$S$134&gt;0), ($S$134)/D$48,0)*D32</f><v>0</v></c><c r="E110" s="185"><f>IF(AND(E$48&gt;0,$S$135&gt;0), ($S$135)/E$48,0)*E32</f><v>0</v></c><c r="F110" s="64"><f t="shared" si="29"/><v>1166.9887123201959</v></c><c r="G110" s="185"><f>'CO2 factors'!C$7*G32</f><v>0</v></c><c r="H110" s="185"><f>'CO2 factors'!D$7*H32</f><v>0</v></c><c r="I110" s="185"><f>'CO2 factors'!E$7*I32</f><v>0</v></c><c r="J110" s="185"><f>'CO2 factors'!F$7*J32</f><v>0</v></c><c r="K110" s="185"><f>'CO2 factors'!G$7*K32</f><v>0</v></c><c r="L110" s="185"><f>'CO2 factors'!H$7*L32</f><v>0</v></c><c r="M110" s="64"><f t="shared" si="31"/><v>0</v></c><c r="N110" s="185"><f>'CO2 factors'!J$7*N32</f><v>0</v></c><c r="O110" s="185"><f>'CO2 factors'!K$7*O32</f><v>0</v></c><c r="P110" s="185"><f>'CO2 factors'!L$7*P32</f><v>0</v></c><c r="Q110" s="185"><f>'CO2 factors'!M$7*Q32</f><v>0</v></c><c r="R110" s="185"><f>'CO2 factors'!N$7*R32</f><v>0</v></c><c r="S110" s="185"><f>'CO2 factors'!O$7*S32</f><v>0</v></c><c r="T110" s="64"><f t="shared" si="33"/><v>0</v></c><c r="U110" s="64"><f t="shared" si="34"/><v>1166.9887123201959</v></c></row><row r="111" spans="1:21" s="21" customFormat="1" ht="15.75" x14ac:dyDescent="0.25"><c r="A111" s="22"/><c r="B111" s="183" t="str"><f>Translation!A76</f><v>Construção</v></c><c r="C111" s="185"><f>IF(AND(C$48&gt;0,($S$133+$V$143)&gt;0), ($S$133+$V$143)/C$48,0)*C33</f><v>1515.7024506647676</v></c><c r="D111" s="185"><f>IF(AND(D$48&gt;0,$S$134&gt;0), ($S$134)/D$48,0)*D33</f><v>0</v></c><c r="E111" s="185"><f>IF(AND(E$48&gt;0,$S$135&gt;0), ($S$135)/E$48,0)*E33</f><v>0</v></c><c r="F111" s="64"><f t="shared" si="29"/><v>1515.7024506647676</v></c><c r="G111" s="75"><f>'CO2 factors'!C$7*G33</f><v>0</v></c><c r="H111" s="75"><f>'CO2 factors'!D$7*H33</f><v>0</v></c><c r="I111" s="75"><f>'CO2 factors'!E$7*I33</f><v>0</v></c><c r="J111" s="75"><f>'CO2 factors'!F$7*J33</f><v>0</v></c><c r="K111" s="75"><f>'CO2 factors'!G$7*K33</f><v>0</v></c><c r="L111" s="75"><f>'CO2 factors'!H$7*L33</f><v>0</v></c><c r="M111" s="64"><f t="shared" si="31"/><v>0</v></c><c r="N111" s="75"><f>'CO2 factors'!J$7*N33</f><v>0</v></c><c r="O111" s="75"><f>'CO2 factors'!K$7*O33</f><v>0</v></c><c r="P111" s="75"><f>'CO2 factors'!L$7*P33</f><v>0</v></c><c r="Q111" s="75"><f>'CO2 factors'!M$7*Q33</f><v>0</v></c><c r="R111" s="75"><f>'CO2 factors'!N$7*R33</f><v>0</v></c><c r="S111" s="75"><f>'CO2 factors'!O$7*S33</f><v>0</v></c><c r="T111" s="64"><f t="shared" si="33"/><v>0</v></c><c r="U111" s="64"><f t="shared" si="34"/><v>1515.7024506647676</v></c></row><row r="112" spans="1:21" s="21" customFormat="1" ht="15.75" x14ac:dyDescent="0.25"><c r="A112" s="22"/><c r="B112" s="61" t="str"><f>Translation!A77</f><v>SECTOR TERCIÁRIO</v></c><c r="C112" s="64"><f>SUM(C113:C120)</f><v>74973.453744082915</v></c><c r="D112" s="64"><f>SUM(D113:D120)</f><v>0</v></c><c r="E112" s="64"><f>SUM(E113:E120)</f><v>0</v></c><c r="F112" s="64"><f t="shared" si="29"/><v>74973.453744082915</v></c><c r="G112" s="64"><f t="shared" ref="G112:L112" si="42">SUM(G113:G120)</f><v>0</v></c><c r="H112" s="64"><f t="shared" si="42"/><v>0</v></c><c r="I112" s="64"><f t="shared" si="42"/><v>0</v></c><c r="J112" s="64"><f t="shared" si="42"/><v>0</v></c><c r="K112" s="64"><f t="shared" si="42"/><v>0</v></c><c r="L112" s="64"><f t="shared" si="42"/><v>0</v></c><c r="M112" s="64"><f t="shared" si="31"/><v>0</v></c><c r="N112" s="64"><f t="shared" ref="N112:S112" si="43">SUM(N113:N120)</f><v>0</v></c><c r="O112" s="64"><f t="shared" si="43"/><v>0</v></c><c r="P112" s="64"><f t="shared" si="43"/><v>0</v></c><c r="Q112" s="64"><f t="shared" si="43"/><v>0</v></c><c r="R112" s="64"><f t="shared" si="43"/><v>0</v></c><c r="S112" s="64"><f t="shared" si="43"/><v>0</v></c><c r="T112" s="64"><f t="shared" si="33"/><v>0</v></c><c r="U112" s="64"><f t="shared" si="34"/><v>74973.453744082915</v></c></row><row r="113" spans="1:23" s="21" customFormat="1" ht="30" x14ac:dyDescent="0.25"><c r="A113" s="22"/><c r="B113" s="183" t="str"><f>Translation!A78</f><v>Comércio por grosso e a retalho; reparação de veículos automóveis e motociclos</v></c><c r="C113" s="185"><f t="shared" ref="C113:C120" si="44">IF(AND(C$48&gt;0,($S$133+$V$143)&gt;0), ($S$133+$V$143)/C$48,0)*C35</f><v>16977.372874414294</v></c><c r="D113" s="185"><f t="shared" ref="D113:D120" si="45">IF(AND(D$48&gt;0,$S$134&gt;0), ($S$134)/D$48,0)*D35</f><v>0</v></c><c r="E113" s="185"><f t="shared" ref="E113:E120" si="46">IF(AND(E$48&gt;0,$S$135&gt;0), ($S$135)/E$48,0)*E35</f><v>0</v></c><c r="F113" s="64"><f t="shared" si="29"/><v>16977.372874414294</v></c><c r="G113" s="185"><f>'CO2 factors'!C$7*G35</f><v>0</v></c><c r="H113" s="185"><f>'CO2 factors'!D$7*H35</f><v>0</v></c><c r="I113" s="185"><f>'CO2 factors'!E$7*I35</f><v>0</v></c><c r="J113" s="185"><f>'CO2 factors'!F$7*J35</f><v>0</v></c><c r="K113" s="185"><f>'CO2 factors'!G$7*K35</f><v>0</v></c><c r="L113" s="185"><f>'CO2 factors'!H$7*L35</f><v>0</v></c><c r="M113" s="64"><f t="shared" si="31"/><v>0</v></c><c r="N113" s="185"><f>'CO2 factors'!J$7*N35</f><v>0</v></c><c r="O113" s="185"><f>'CO2 factors'!K$7*O35</f><v>0</v></c><c r="P113" s="185"><f>'CO2 factors'!L$7*P35</f><v>0</v></c><c r="Q113" s="185"><f>'CO2 factors'!M$7*Q35</f><v>0</v></c><c r="R113" s="185"><f>'CO2 factors'!N$7*R35</f><v>0</v></c><c r="S113" s="185"><f>'CO2 factors'!O$7*S35</f><v>0</v></c><c r="T113" s="64"><f t="shared" si="33"/><v>0</v></c><c r="U113" s="64"><f t="shared" si="34"/><v>16977.372874414294</v></c></row><row r="114" spans="1:23" s="21" customFormat="1" ht="15.75" x14ac:dyDescent="0.25"><c r="A114" s="22"/><c r="B114" s="183" t="str"><f>Translation!A79</f><v>Alojamento, restauração e similares</v></c><c r="C114" s="185"><f t="shared" si="44"/><v>7180.922899515067</v></c><c r="D114" s="185"><f t="shared" si="45"/><v>0</v></c><c r="E114" s="185"><f t="shared" si="46"/><v>0</v></c><c r="F114" s="64"><f t="shared" si="29"/><v>7180.922899515067</v></c><c r="G114" s="185"><f>'CO2 factors'!C$7*G36</f><v>0</v></c><c r="H114" s="185"><f>'CO2 factors'!D$7*H36</f><v>0</v></c><c r="I114" s="185"><f>'CO2 factors'!E$7*I36</f><v>0</v></c><c r="J114" s="185"><f>'CO2 factors'!F$7*J36</f><v>0</v></c><c r="K114" s="185"><f>'CO2 factors'!G$7*K36</f><v>0</v></c><c r="L114" s="185"><f>'CO2 factors'!H$7*L36</f><v>0</v></c><c r="M114" s="64"><f t="shared" si="31"/><v>0</v></c><c r="N114" s="185"><f>'CO2 factors'!J$7*N36</f><v>0</v></c><c r="O114" s="185"><f>'CO2 factors'!K$7*O36</f><v>0</v></c><c r="P114" s="185"><f>'CO2 factors'!L$7*P36</f><v>0</v></c><c r="Q114" s="185"><f>'CO2 factors'!M$7*Q36</f><v>0</v></c><c r="R114" s="185"><f>'CO2 factors'!N$7*R36</f><v>0</v></c><c r="S114" s="185"><f>'CO2 factors'!O$7*S36</f><v>0</v></c><c r="T114" s="64"><f t="shared" si="33"/><v>0</v></c><c r="U114" s="64"><f t="shared" si="34"/><v>7180.922899515067</v></c></row><row r="115" spans="1:23" s="21" customFormat="1" ht="15.75" x14ac:dyDescent="0.25"><c r="A115" s="22"/><c r="B115" s="183" t="str"><f>Translation!A80</f><v>Administração pública e segurança social</v></c><c r="C115" s="185"><f t="shared" si="44"/><v>7515.5758339449385</v></c><c r="D115" s="185"><f t="shared" si="45"/><v>0</v></c><c r="E115" s="185"><f t="shared" si="46"/><v>0</v></c><c r="F115" s="64"><f t="shared" si="29"/><v>7515.5758339449385</v></c><c r="G115" s="185"><f>'CO2 factors'!C$7*G37</f><v>0</v></c><c r="H115" s="185"><f>'CO2 factors'!D$7*H37</f><v>0</v></c><c r="I115" s="185"><f>'CO2 factors'!E$7*I37</f><v>0</v></c><c r="J115" s="185"><f>'CO2 factors'!F$7*J37</f><v>0</v></c><c r="K115" s="185"><f>'CO2 factors'!G$7*K37</f><v>0</v></c><c r="L115" s="185"><f>'CO2 factors'!H$7*L37</f><v>0</v></c><c r="M115" s="64"><f t="shared" si="31"/><v>0</v></c><c r="N115" s="185"><f>'CO2 factors'!J$7*N37</f><v>0</v></c><c r="O115" s="185"><f>'CO2 factors'!K$7*O37</f><v>0</v></c><c r="P115" s="185"><f>'CO2 factors'!L$7*P37</f><v>0</v></c><c r="Q115" s="185"><f>'CO2 factors'!M$7*Q37</f><v>0</v></c><c r="R115" s="185"><f>'CO2 factors'!N$7*R37</f><v>0</v></c><c r="S115" s="185"><f>'CO2 factors'!O$7*S37</f><v>0</v></c><c r="T115" s="64"><f t="shared" si="33"/><v>0</v></c><c r="U115" s="64"><f t="shared" si="34"/><v>7515.5758339449385</v></c></row><row r="116" spans="1:23" s="21" customFormat="1" ht="15.75" x14ac:dyDescent="0.25"><c r="A116" s="22"/><c r="B116" s="183" t="str"><f>Translation!A81</f><v>Defesa, justiça, polícia e bombeiros</v></c><c r="C116" s="185"><f t="shared" si="44"/><v>2822.9148686572516</v></c><c r="D116" s="185"><f t="shared" si="45"/><v>0</v></c><c r="E116" s="185"><f t="shared" si="46"/><v>0</v></c><c r="F116" s="64"><f t="shared" si="29"/><v>2822.9148686572516</v></c><c r="G116" s="185"><f>'CO2 factors'!C$7*G38</f><v>0</v></c><c r="H116" s="185"><f>'CO2 factors'!D$7*H38</f><v>0</v></c><c r="I116" s="185"><f>'CO2 factors'!E$7*I38</f><v>0</v></c><c r="J116" s="185"><f>'CO2 factors'!F$7*J38</f><v>0</v></c><c r="K116" s="185"><f>'CO2 factors'!G$7*K38</f><v>0</v></c><c r="L116" s="185"><f>'CO2 factors'!H$7*L38</f><v>0</v></c><c r="M116" s="64"><f t="shared" si="31"/><v>0</v></c><c r="N116" s="185"><f>'CO2 factors'!J$7*N38</f><v>0</v></c><c r="O116" s="185"><f>'CO2 factors'!K$7*O38</f><v>0</v></c><c r="P116" s="185"><f>'CO2 factors'!L$7*P38</f><v>0</v></c><c r="Q116" s="185"><f>'CO2 factors'!M$7*Q38</f><v>0</v></c><c r="R116" s="185"><f>'CO2 factors'!N$7*R38</f><v>0</v></c><c r="S116" s="185"><f>'CO2 factors'!O$7*S38</f><v>0</v></c><c r="T116" s="64"><f t="shared" si="33"/><v>0</v></c><c r="U116" s="64"><f t="shared" si="34"/><v>2822.9148686572516</v></c></row><row r="117" spans="1:23" s="21" customFormat="1" ht="15.75" x14ac:dyDescent="0.25"><c r="A117" s="22"/><c r="B117" s="183" t="str"><f>Translation!A82</f><v>Educação</v></c><c r="C117" s="185"><f t="shared" si="44"/><v>1860.6961310370643</v></c><c r="D117" s="185"><f t="shared" si="45"/><v>0</v></c><c r="E117" s="185"><f t="shared" si="46"/><v>0</v></c><c r="F117" s="64"><f t="shared" si="29"/><v>1860.6961310370643</v></c><c r="G117" s="185"><f>'CO2 factors'!C$7*G39</f><v>0</v></c><c r="H117" s="185"><f>'CO2 factors'!D$7*H39</f><v>0</v></c><c r="I117" s="185"><f>'CO2 factors'!E$7*I39</f><v>0</v></c><c r="J117" s="185"><f>'CO2 factors'!F$7*J39</f><v>0</v></c><c r="K117" s="185"><f>'CO2 factors'!G$7*K39</f><v>0</v></c><c r="L117" s="185"><f>'CO2 factors'!H$7*L39</f><v>0</v></c><c r="M117" s="64"><f t="shared" si="31"/><v>0</v></c><c r="N117" s="185"><f>'CO2 factors'!J$7*N39</f><v>0</v></c><c r="O117" s="185"><f>'CO2 factors'!K$7*O39</f><v>0</v></c><c r="P117" s="185"><f>'CO2 factors'!L$7*P39</f><v>0</v></c><c r="Q117" s="185"><f>'CO2 factors'!M$7*Q39</f><v>0</v></c><c r="R117" s="185"><f>'CO2 factors'!N$7*R39</f><v>0</v></c><c r="S117" s="185"><f>'CO2 factors'!O$7*S39</f><v>0</v></c><c r="T117" s="64"><f t="shared" si="33"/><v>0</v></c><c r="U117" s="64"><f t="shared" si="34"/><v>1860.6961310370643</v></c></row><row r="118" spans="1:23" s="21" customFormat="1" ht="15.75" x14ac:dyDescent="0.25"><c r="A118" s="22"/><c r="B118" s="183" t="str"><f>Translation!A83</f><v>Actividades de saúde humana e apoio social</v></c><c r="C118" s="185"><f t="shared" si="44"/><v>3817.2145740539395</v></c><c r="D118" s="185"><f t="shared" si="45"/><v>0</v></c><c r="E118" s="185"><f t="shared" si="46"/><v>0</v></c><c r="F118" s="64"><f t="shared" si="29"/><v>3817.2145740539395</v></c><c r="G118" s="185"><f>'CO2 factors'!C$7*G40</f><v>0</v></c><c r="H118" s="185"><f>'CO2 factors'!D$7*H40</f><v>0</v></c><c r="I118" s="185"><f>'CO2 factors'!E$7*I40</f><v>0</v></c><c r="J118" s="185"><f>'CO2 factors'!F$7*J40</f><v>0</v></c><c r="K118" s="185"><f>'CO2 factors'!G$7*K40</f><v>0</v></c><c r="L118" s="185"><f>'CO2 factors'!H$7*L40</f><v>0</v></c><c r="M118" s="64"><f t="shared" si="31"/><v>0</v></c><c r="N118" s="185"><f>'CO2 factors'!J$7*N40</f><v>0</v></c><c r="O118" s="185"><f>'CO2 factors'!K$7*O40</f><v>0</v></c><c r="P118" s="185"><f>'CO2 factors'!L$7*P40</f><v>0</v></c><c r="Q118" s="185"><f>'CO2 factors'!M$7*Q40</f><v>0</v></c><c r="R118" s="185"><f>'CO2 factors'!N$7*R40</f><v>0</v></c><c r="S118" s="185"><f>'CO2 factors'!O$7*S40</f><v>0</v></c><c r="T118" s="64"><f t="shared" si="33"/><v>0</v></c><c r="U118" s="64"><f t="shared" si="34"/><v>3817.2145740539395</v></c></row><row r="119" spans="1:23" s="21" customFormat="1" ht="15.75" x14ac:dyDescent="0.25"><c r="A119" s="22"/><c r="B119" s="183" t="str"><f>Translation!A84</f><v>Outros serviços</v></c><c r="C119" s="185"><f t="shared" si="44"/><v>30411.546439098936</v></c><c r="D119" s="185"><f t="shared" si="45"/><v>0</v></c><c r="E119" s="185"><f t="shared" si="46"/><v>0</v></c><c r="F119" s="64"><f t="shared" si="29"/><v>30411.546439098936</v></c><c r="G119" s="185"><f>'CO2 factors'!C$7*G41</f><v>0</v></c><c r="H119" s="185"><f>'CO2 factors'!D$7*H41</f><v>0</v></c><c r="I119" s="185"><f>'CO2 factors'!E$7*I41</f><v>0</v></c><c r="J119" s="185"><f>'CO2 factors'!F$7*J41</f><v>0</v></c><c r="K119" s="185"><f>'CO2 factors'!G$7*K41</f><v>0</v></c><c r="L119" s="185"><f>'CO2 factors'!H$7*L41</f><v>0</v></c><c r="M119" s="64"><f t="shared" si="31"/><v>0</v></c><c r="N119" s="185"><f>'CO2 factors'!J$7*N41</f><v>0</v></c><c r="O119" s="185"><f>'CO2 factors'!K$7*O41</f><v>0</v></c><c r="P119" s="185"><f>'CO2 factors'!L$7*P41</f><v>0</v></c><c r="Q119" s="185"><f>'CO2 factors'!M$7*Q41</f><v>0</v></c><c r="R119" s="185"><f>'CO2 factors'!N$7*R41</f><v>0</v></c><c r="S119" s="185"><f>'CO2 factors'!O$7*S41</f><v>0</v></c><c r="T119" s="64"><f t="shared" si="33"/><v>0</v></c><c r="U119" s="64"><f t="shared" si="34"/><v>30411.546439098936</v></c></row><row r="120" spans="1:23" s="21" customFormat="1" ht="15.75" x14ac:dyDescent="0.25"><c r="A120" s="22"/><c r="B120" s="183" t="str"><f>Translation!A85</f><v>Iluminação pública</v></c><c r="C120" s="185"><f t="shared" si="44"/><v>4387.2101233614258</v></c><c r="D120" s="185"><f t="shared" si="45"/><v>0</v></c><c r="E120" s="185"><f t="shared" si="46"/><v>0</v></c><c r="F120" s="64"><f t="shared" si="29"/><v>4387.2101233614258</v></c><c r="G120" s="185"><f>'CO2 factors'!C$7*G42</f><v>0</v></c><c r="H120" s="185"><f>'CO2 factors'!D$7*H42</f><v>0</v></c><c r="I120" s="185"><f>'CO2 factors'!E$7*I42</f><v>0</v></c><c r="J120" s="185"><f>'CO2 factors'!F$7*J42</f><v>0</v></c><c r="K120" s="185"><f>'CO2 factors'!G$7*K42</f><v>0</v></c><c r="L120" s="185"><f>'CO2 factors'!H$7*L42</f><v>0</v></c><c r="M120" s="64"><f t="shared" si="31"/><v>0</v></c><c r="N120" s="185"><f>'CO2 factors'!J$7*N42</f><v>0</v></c><c r="O120" s="185"><f>'CO2 factors'!K$7*O42</f><v>0</v></c><c r="P120" s="185"><f>'CO2 factors'!L$7*P42</f><v>0</v></c><c r="Q120" s="185"><f>'CO2 factors'!M$7*Q42</f><v>0</v></c><c r="R120" s="185"><f>'CO2 factors'!N$7*R42</f><v>0</v></c><c r="S120" s="185"><f>'CO2 factors'!O$7*S42</f><v>0</v></c><c r="T120" s="64"><f t="shared" si="33"/><v>0</v></c><c r="U120" s="64"><f t="shared" si="34"/><v>4387.2101233614258</v></c></row><row r="121" spans="1:23" s="21" customFormat="1" ht="15.75" x14ac:dyDescent="0.25"><c r="A121" s="22"/><c r="B121" s="61" t="str"><f>Translation!A86</f><v>TRANSPORTES</v></c><c r="C121" s="64"><f>SUM(C122:C125)</f><v>226.17662408432855</v></c><c r="D121" s="64"><f>SUM(D122:D125)</f><v>0</v></c><c r="E121" s="64"><f>SUM(E122:E125)</f><v>0</v></c><c r="F121" s="64"><f t="shared" si="29"/><v>226.17662408432855</v></c><c r="G121" s="64"><f t="shared" ref="G121:L121" si="47">SUM(G122:G125)</f><v>0</v></c><c r="H121" s="64"><f t="shared" si="47"/><v>58981.368000000002</v></c><c r="I121" s="64"><f t="shared" si="47"/><v>24534.219000000001</v></c><c r="J121" s="64"><f t="shared" si="47"/><v>0</v></c><c r="K121" s="64"><f t="shared" si="47"/><v>0</v></c><c r="L121" s="64"><f t="shared" si="47"/><v>0</v></c><c r="M121" s="64"><f t="shared" si="31"/><v>83515.587</v></c><c r="N121" s="64"><f t="shared" ref="N121:S121" si="48">SUM(N122:N125)</f><v>0</v></c><c r="O121" s="64"><f t="shared" si="48"/><v>0</v></c><c r="P121" s="64"><f t="shared" si="48"/><v>0</v></c><c r="Q121" s="64"><f t="shared" si="48"/><v>0</v></c><c r="R121" s="64"><f t="shared" si="48"/><v>0</v></c><c r="S121" s="64"><f t="shared" si="48"/><v>0</v></c><c r="T121" s="64"><f t="shared" si="33"/><v>0</v></c><c r="U121" s="64"><f t="shared" si="34"/><v>83741.763624084328</v></c></row><row r="122" spans="1:23" s="21" customFormat="1" ht="30" x14ac:dyDescent="0.25"><c r="A122" s="22"/><c r="B122" s="183" t="str"><f>Translation!A87</f><v>Transporte de passageiros por estrada (transportes públicos, táxis, turismo, transporte escolar, etc.)</v></c><c r="C122" s="185"><f>IF(AND(C$48&gt;0,($S$133+$V$143)&gt;0), ($S$133+$V$143)/C$48,0)*C44</f><v>139.87563007254292</v></c><c r="D122" s="185"><f>IF(AND(D$48&gt;0,$S$134&gt;0), ($S$134)/D$48,0)*D44</f><v>0</v></c><c r="E122" s="185"><f>IF(AND(E$48&gt;0,$S$135&gt;0), ($S$135)/E$48,0)*E44</f><v>0</v></c><c r="F122" s="64"><f t="shared" si="29"/><v>139.87563007254292</v></c><c r="G122" s="185"><f>'CO2 factors'!C$7*G44</f><v>0</v></c><c r="H122" s="185"><f>'CO2 factors'!D$7*H44</f><v>58981.368000000002</v></c><c r="I122" s="185"><f>'CO2 factors'!E$7*I44</f><v>24534.219000000001</v></c><c r="J122" s="185"><f>'CO2 factors'!F$7*J44</f><v>0</v></c><c r="K122" s="185"><f>'CO2 factors'!G$7*K44</f><v>0</v></c><c r="L122" s="185"><f>'CO2 factors'!H$7*L44</f><v>0</v></c><c r="M122" s="64"><f t="shared" si="31"/><v>83515.587</v></c><c r="N122" s="185"><f>'CO2 factors'!J$7*N44</f><v>0</v></c><c r="O122" s="185"><f>'CO2 factors'!K$7*O44</f><v>0</v></c><c r="P122" s="185"><f>'CO2 factors'!L$7*P44</f><v>0</v></c><c r="Q122" s="185"><f>'CO2 factors'!M$7*Q44</f><v>0</v></c><c r="R122" s="185"><f>'CO2 factors'!N$7*R44</f><v>0</v></c><c r="S122" s="185"><f>'CO2 factors'!O$7*S44</f><v>0</v></c><c r="T122" s="64"><f t="shared" si="33"/><v>0</v></c><c r="U122" s="64"><f t="shared" si="34"/><v>83655.462630072536</v></c></row><row r="123" spans="1:23" s="21" customFormat="1" ht="30" x14ac:dyDescent="0.25"><c r="A123" s="22"/><c r="B123" s="183" t="str"><f>Translation!A88</f><v>Transporte de mercadorias por estrada e serviços de mudanças</v></c><c r="C123" s="185"><f>IF(AND(C$48&gt;0,($S$133+$V$143)&gt;0), ($S$133+$V$143)/C$48,0)*C45</f><v>0</v></c><c r="D123" s="185"><f>IF(AND(D$48&gt;0,$S$134&gt;0), ($S$134)/D$48,0)*D45</f><v>0</v></c><c r="E123" s="185"><f>IF(AND(E$48&gt;0,$S$135&gt;0), ($S$135)/E$48,0)*E45</f><v>0</v></c><c r="F123" s="64"><f t="shared" si="29"/><v>0</v></c><c r="G123" s="185"><f>'CO2 factors'!C$7*G45</f><v>0</v></c><c r="H123" s="185"><f>'CO2 factors'!D$7*H45</f><v>0</v></c><c r="I123" s="185"><f>'CO2 factors'!E$7*I45</f><v>0</v></c><c r="J123" s="185"><f>'CO2 factors'!F$7*J45</f><v>0</v></c><c r="K123" s="185"><f>'CO2 factors'!G$7*K45</f><v>0</v></c><c r="L123" s="185"><f>'CO2 factors'!H$7*L45</f><v>0</v></c><c r="M123" s="64"><f t="shared" si="31"/><v>0</v></c><c r="N123" s="185"><f>'CO2 factors'!J$7*N45</f><v>0</v></c><c r="O123" s="185"><f>'CO2 factors'!K$7*O45</f><v>0</v></c><c r="P123" s="185"><f>'CO2 factors'!L$7*P45</f><v>0</v></c><c r="Q123" s="185"><f>'CO2 factors'!M$7*Q45</f><v>0</v></c><c r="R123" s="185"><f>'CO2 factors'!N$7*R45</f><v>0</v></c><c r="S123" s="185"><f>'CO2 factors'!O$7*S45</f><v>0</v></c><c r="T123" s="64"><f t="shared" si="33"/><v>0</v></c><c r="U123" s="64"><f t="shared" si="34"/><v>0</v></c></row><row r="124" spans="1:23" s="21" customFormat="1" ht="15.75" x14ac:dyDescent="0.25"><c r="A124" s="22"/><c r="B124" s="183" t="str"><f>Translation!A89</f><v>Outras frotas de serviços públicos e privados</v></c><c r="C124" s="185"><f>IF(AND(C$48&gt;0,($S$133+$V$143)&gt;0), ($S$133+$V$143)/C$48,0)*C46</f><v>61.34832445506315</v></c><c r="D124" s="185"><f>IF(AND(D$48&gt;0,$S$134&gt;0), ($S$134)/D$48,0)*D46</f><v>0</v></c><c r="E124" s="185"><f>IF(AND(E$48&gt;0,$S$135&gt;0), ($S$135)/E$48,0)*E46</f><v>0</v></c><c r="F124" s="64"><f t="shared" si="29"/><v>61.34832445506315</v></c><c r="G124" s="185"><f>'CO2 factors'!C$7*G46</f><v>0</v></c><c r="H124" s="185"><f>'CO2 factors'!D$7*H46</f><v>0</v></c><c r="I124" s="185"><f>'CO2 factors'!E$7*I46</f><v>0</v></c><c r="J124" s="185"><f>'CO2 factors'!F$7*J46</f><v>0</v></c><c r="K124" s="185"><f>'CO2 factors'!G$7*K46</f><v>0</v></c><c r="L124" s="185"><f>'CO2 factors'!H$7*L46</f><v>0</v></c><c r="M124" s="64"><f t="shared" si="31"/><v>0</v></c><c r="N124" s="185"><f>'CO2 factors'!J$7*N46</f><v>0</v></c><c r="O124" s="185"><f>'CO2 factors'!K$7*O46</f><v>0</v></c><c r="P124" s="185"><f>'CO2 factors'!L$7*P46</f><v>0</v></c><c r="Q124" s="185"><f>'CO2 factors'!M$7*Q46</f><v>0</v></c><c r="R124" s="185"><f>'CO2 factors'!N$7*R46</f><v>0</v></c><c r="S124" s="185"><f>'CO2 factors'!O$7*S46</f><v>0</v></c><c r="T124" s="64"><f t="shared" si="33"/><v>0</v></c><c r="U124" s="64"><f t="shared" si="34"/><v>61.34832445506315</v></c></row><row r="125" spans="1:23" s="21" customFormat="1" ht="15.75" x14ac:dyDescent="0.25"><c r="A125" s="22"/><c r="B125" s="182" t="str"><f>Translation!A90</f><v>Transporte particular</v></c><c r="C125" s="185"><f>IF(AND(C$48&gt;0,($S$133+$V$143)&gt;0), ($S$133+$V$143)/C$48,0)*C47</f><v>24.952669556722491</v></c><c r="D125" s="185"><f>IF(AND(D$48&gt;0,$S$134&gt;0), ($S$134)/D$48,0)*D47</f><v>0</v></c><c r="E125" s="185"><f>IF(AND(E$48&gt;0,$S$135&gt;0), ($S$135)/E$48,0)*E47</f><v>0</v></c><c r="F125" s="64"><f t="shared" si="29"/><v>24.952669556722491</v></c><c r="G125" s="185"><f>'CO2 factors'!C$7*G47</f><v>0</v></c><c r="H125" s="185"><f>'CO2 factors'!D$7*H47</f><v>0</v></c><c r="I125" s="185"><f>'CO2 factors'!E$7*I47</f><v>0</v></c><c r="J125" s="185"><f>'CO2 factors'!F$7*J47</f><v>0</v></c><c r="K125" s="185"><f>'CO2 factors'!G$7*K47</f><v>0</v></c><c r="L125" s="185"><f>'CO2 factors'!H$7*L47</f><v>0</v></c><c r="M125" s="64"><f t="shared" si="31"/><v>0</v></c><c r="N125" s="185"><f>'CO2 factors'!J$7*N47</f><v>0</v></c><c r="O125" s="185"><f>'CO2 factors'!K$7*O47</f><v>0</v></c><c r="P125" s="185"><f>'CO2 factors'!L$7*P47</f><v>0</v></c><c r="Q125" s="185"><f>'CO2 factors'!M$7*Q47</f><v>0</v></c><c r="R125" s="185"><f>'CO2 factors'!N$7*R47</f><v>0</v></c><c r="S125" s="185"><f>'CO2 factors'!O$7*S47</f><v>0</v></c><c r="T125" s="64"><f t="shared" si="33"/><v>0</v></c><c r="U125" s="64"><f t="shared" si="34"/><v>24.952669556722491</v></c></row><row r="126" spans="1:23" s="21" customFormat="1" ht="15.75" x14ac:dyDescent="0.25"><c r="A126" s="22"/><c r="B126" s="73" t="str"><f>Translation!A118</f><v>TOTAL PARA MERCADO INTERNO</v></c><c r="C126" s="65"><f>C95+C105+C108+C112+C121</f><v>139558.758</v></c><c r="D126" s="65"><f>D95+D105+D108+D112+D121</f><v>0</v></c><c r="E126" s="65"><f>E95+E105+E108+E112+E121</f><v>0</v></c><c r="F126" s="64"><f t="shared" si="29"/><v>139558.758</v></c><c r="G126" s="65"><f t="shared" ref="G126:L126" si="49">G95+G105+G108+G112+G121</f><v>15345.279000000002</v></c><c r="H126" s="65"><f t="shared" si="49"/><v>75505.731</v></c><c r="I126" s="65"><f t="shared" si="49"/><v>24534.219000000001</v></c><c r="J126" s="65"><f t="shared" si="49"/><v>16306.8</v></c><c r="K126" s="65"><f t="shared" si="49"/><v>0</v></c><c r="L126" s="65"><f t="shared" si="49"/><v>0</v></c><c r="M126" s="64"><f t="shared" si="31"/><v>131692.02900000001</v></c><c r="N126" s="65"><f t="shared" ref="N126:S126" si="50">N95+N105+N108+N112+N121</f><v>0</v></c><c r="O126" s="65"><f t="shared" si="50"/><v>0</v></c><c r="P126" s="65"><f t="shared" si="50"/><v>0</v></c><c r="Q126" s="65"><f t="shared" si="50"/><v>0</v></c><c r="R126" s="65"><f t="shared" si="50"/><v>0</v></c><c r="S126" s="65"><f t="shared" si="50"/><v>0</v></c><c r="T126" s="64"><f t="shared" si="33"/><v>0</v></c><c r="U126" s="64"><f t="shared" si="34"/><v>271250.78700000001</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6" t="str"><f>Translation!A121</f><v>SECTOR DE PRODUÇÃO</v></c><c r="C130" s="280" t="str"><f>Translation!A143</f><v>FONTE DE ENERGIA PRIMÁRIA</v></c><c r="D130" s="281"/><c r="E130" s="281"/><c r="F130" s="281"/><c r="G130" s="281"/><c r="H130" s="281"/><c r="I130" s="281"/><c r="J130" s="281"/><c r="K130" s="281"/><c r="L130" s="281"/><c r="M130" s="281"/><c r="N130" s="281"/><c r="O130" s="281"/><c r="P130" s="281"/><c r="Q130" s="281"/><c r="R130" s="281"/><c r="S130" s="282"/><c r="T130" s="60"/><c r="U130" s="283" t="str"><f>Translation!A123</f><v>Produto energético</v></c><c r="V130" s="284"/><c r="W130" s="289" t="str"><f>Translation!A150</f><v>FACTORES DE EMISSÃO DE CO2</v></c><c r="X130" s="57"/><c r="Y130" s="57"/><c r="Z130" s="57"/><c r="AA130" s="57"/><c r="AB130" s="57"/><c r="AC130" s="57"/><c r="AD130" s="57"/><c r="AE130" s="57"/></row><row r="131" spans="2:31" s="51" customFormat="1" ht="15" customHeight="1" x14ac:dyDescent="0.25"><c r="B131" s="307"/><c r="C131" s="280" t="str"><f>Translation!A99</f><v>Combustíveis fósseis</v></c><c r="D131" s="281"/><c r="E131" s="281"/><c r="F131" s="281"/><c r="G131" s="281"/><c r="H131" s="281"/><c r="I131" s="282"/><c r="J131" s="280" t="str"><f>Translation!A108</f><v>Fontes energéticas renováveis</v></c><c r="K131" s="281"/><c r="L131" s="281"/><c r="M131" s="281"/><c r="N131" s="281"/><c r="O131" s="281"/><c r="P131" s="281"/><c r="Q131" s="281"/><c r="R131" s="282"/><c r="S131" s="292" t="str"><f>Translation!A119</f><v>TOTAL</v></c><c r="T131" s="60"/><c r="U131" s="285"/><c r="V131" s="286"/><c r="W131" s="290"/><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92"/><c r="T132" s="60"/><c r="U132" s="287"/><c r="V132" s="288"/><c r="W132" s="291"/><c r="X132" s="57"/><c r="Y132" s="57"/><c r="Z132" s="57"/><c r="AA132" s="57"/><c r="AB132" s="57"/><c r="AC132" s="57"/><c r="AD132" s="57"/><c r="AE132" s="57"/></row><row r="133" spans="2:31" s="51" customFormat="1" ht="15.75" x14ac:dyDescent="0.25"><c r="B133" s="184" t="str"><f>Translation!A124</f><v>Electricidade</v></c><c r="C133" s="189"><f>'CO2 factors'!C$7*C69</f><v>136905.57900000003</v></c><c r="D133" s="189"><f>'CO2 factors'!D$7*D69</f><v>2653.1790000000001</v></c><c r="E133" s="189"><f>'CO2 factors'!E$7*E69</f><v>0</v></c><c r="F133" s="189"><f>'CO2 factors'!F$7*F69</f><v>0</v></c><c r="G133" s="189"><f>'CO2 factors'!G$7*G69</f><v>0</v></c><c r="H133" s="189"><f>'CO2 factors'!H$7*H69</f><v>0</v></c><c r="I133" s="59"><f>SUM(C133:H133)</f><v>139558.75800000003</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139558.75800000003</v></c><c r="T133" s="58"/><c r="U133" s="294" t="str"><f>Translation!A124</f><v>Electricidade</v></c><c r="V133" s="295"/><c r="W133" s="190"><f>IF(S59&gt;0,S133/S59,0)</f><v>0.65347572013609057</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3" t="str"><f>Translation!A125</f><v>Calor</v></c><c r="V134" s="29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3" t="str"><f>Translation!A126</f><v>Frio</v></c><c r="V135" s="293"/><c r="W135" s="190"><f>IF(S61&gt;0,S135/S61,0)</f><v>0</v></c><c r="X135" s="57"/><c r="Y135" s="57"/><c r="Z135" s="57"/><c r="AA135" s="57"/><c r="AB135" s="57"/><c r="AC135" s="57"/><c r="AD135" s="57"/><c r="AE135" s="57"/></row><row r="136" spans="2:31" s="51" customFormat="1" ht="15.75" x14ac:dyDescent="0.25"><c r="B136" s="70" t="str"><f>Translation!A119</f><v>TOTAL</v></c><c r="C136" s="53"><f t="shared" ref="C136:S136" si="51">SUM(C133:C135)</f><v>136905.57900000003</v></c><c r="D136" s="53"><f t="shared" si="51"/><v>2653.1790000000001</v></c><c r="E136" s="53"><f t="shared" si="51"/><v>0</v></c><c r="F136" s="53"><f t="shared" si="51"/><v>0</v></c><c r="G136" s="53"><f t="shared" si="51"/><v>0</v></c><c r="H136" s="53"><f t="shared" si="51"/><v>0</v></c><c r="I136" s="53"><f t="shared" si="51"/><v>139558.75800000003</v></c><c r="J136" s="53"><f t="shared" si="51"/><v>0</v></c><c r="K136" s="53"><f t="shared" si="51"/><v>0</v></c><c r="L136" s="53"><f t="shared" si="51"/><v>0</v></c><c r="M136" s="53"><f t="shared" si="51"/><v>0</v></c><c r="N136" s="53"><f t="shared" si="51"/><v>0</v></c><c r="O136" s="53"><f t="shared" si="51"/><v>0</v></c><c r="P136" s="53"><f t="shared" si="51"/><v>0</v></c><c r="Q136" s="53"><f t="shared" si="51"/><v>0</v></c><c r="R136" s="53"><f t="shared" si="51"/><v>0</v></c><c r="S136" s="53"><f t="shared" si="51"/><v>139558.75800000003</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8" t="str"><f>Translation!A123</f><v>Produto energético</v></c><c r="C140" s="277" t="str"><f>Translation!A143</f><v>FONTE DE ENERGIA PRIMÁRIA</v></c><c r="D140" s="278"/><c r="E140" s="278"/><c r="F140" s="278"/><c r="G140" s="278"/><c r="H140" s="278"/><c r="I140" s="278"/><c r="J140" s="278"/><c r="K140" s="278"/><c r="L140" s="278"/><c r="M140" s="278"/><c r="N140" s="278"/><c r="O140" s="278"/><c r="P140" s="278"/><c r="Q140" s="278"/><c r="R140" s="278"/><c r="S140" s="278"/><c r="T140" s="278"/><c r="U140" s="278"/><c r="V140" s="278"/><c r="W140" s="278"/><c r="X140" s="278"/><c r="Y140" s="279"/><c r="AA140" s="289" t="str"><f>Translation!A151</f><v>Emissões de CO2 de instalações CELE incluídas no cálculo para a energia final</v></c><c r="AB140" s="289" t="str"><f>Translation!A152</f><v>Emissões de CO2 de instalações CELE incluídas no cálculo para a produção de energia secundária</v></c></row><row r="141" spans="2:31" s="51" customFormat="1" ht="15" customHeight="1" x14ac:dyDescent="0.25"><c r="B141" s="319"/><c r="C141" s="277" t="str"><f>Translation!A99</f><v>Combustíveis fósseis</v></c><c r="D141" s="278"/><c r="E141" s="278"/><c r="F141" s="278"/><c r="G141" s="278"/><c r="H141" s="278"/><c r="I141" s="279"/><c r="J141" s="277" t="str"><f>Translation!A108</f><v>Fontes energéticas renováveis</v></c><c r="K141" s="278"/><c r="L141" s="278"/><c r="M141" s="278"/><c r="N141" s="278"/><c r="O141" s="278"/><c r="P141" s="278"/><c r="Q141" s="278"/><c r="R141" s="279"/><c r="S141" s="296" t="str"><f>Translation!A124</f><v>Electricidade</v></c><c r="T141" s="297"/><c r="U141" s="297"/><c r="V141" s="298"/><c r="W141" s="108" t="str"><f>Translation!A125</f><v>Calor</v></c><c r="X141" s="108" t="str"><f>Translation!A126</f><v>Frio</v></c><c r="Y141" s="258" t="str"><f>Translation!A119</f><v>TOTAL</v></c><c r="AA141" s="290"/><c r="AB141" s="290"/></row><row r="142" spans="2:31" s="51" customFormat="1" ht="90.75" customHeight="1" x14ac:dyDescent="0.25"><c r="B142" s="320"/><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8"/><c r="AA142" s="291"/><c r="AB142" s="291"/></row><row r="143" spans="2:31" s="51" customFormat="1" ht="15.75" x14ac:dyDescent="0.25"><c r="B143" s="107" t="str"><f>Translation!A119</f><v>TOTAL</v></c><c r="C143" s="186"><f>'CO2 factors'!C$7*C79</f><v>152250.85800000001</v></c><c r="D143" s="186"><f>'CO2 factors'!D$7*D79</f><v>78158.91</v></c><c r="E143" s="186"><f>'CO2 factors'!E$7*E79</f><v>24534.219000000001</v></c><c r="F143" s="186"><f>'CO2 factors'!F$7*F79</f><v>16306.8</v></c><c r="G143" s="186"><f>'CO2 factors'!G$7*G79</f><v>0</v></c><c r="H143" s="186"><f>'CO2 factors'!H$7*H79</f><v>0</v></c><c r="I143" s="53"><f>SUM(C143:H143)</f><v>271250.78700000001</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271250.78700000001</v></c><c r="AA143" s="154"/><c r="AB143" s="154"/></row><row r="144" spans="2:31" s="51" customFormat="1" ht="15" x14ac:dyDescent="0.25"><c r="B144" s="52"/></row><row r="145" spans="1:21" ht="15.75" customHeight="1" x14ac:dyDescent="0.25"><c r="A145" s="145"/><c r="B145" s="146"/></row><row r="146" spans="1:21" ht="18.75" customHeight="1" x14ac:dyDescent="0.35"><c r="A146" s="144"/><c r="B146" s="269" t="str"><f>Translation!A154</f><v xml:space="preserve">Continue na próxima página dedicada ao Inventário de Emissões em 2020 </v></c><c r="C146" s="270"/><c r="D146" s="270"/><c r="E146" s="270"/><c r="F146" s="270"/><c r="G146" s="270"/><c r="H146" s="270"/><c r="I146" s="270"/><c r="J146" s="270"/><c r="K146" s="270"/><c r="L146" s="270"/><c r="M146" s="270"/><c r="N146" s="270"/><c r="O146" s="270"/><c r="P146" s="270"/><c r="Q146" s="270"/><c r="R146" s="270"/><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71"/><c r="D148" s="271"/><c r="E148" s="271"/><c r="F148" s="271"/><c r="G148" s="271"/><c r="H148" s="271"/><c r="I148" s="271"/><c r="J148" s="271"/><c r="K148" s="271"/><c r="L148" s="271"/><c r="M148" s="271"/><c r="N148" s="271"/><c r="O148" s="271"/><c r="P148" s="271"/><c r="Q148" s="271"/><c r="R148" s="271"/><c r="S148" s="271"/><c r="T148" s="271"/><c r="U148" s="271"/></row><row r="149" spans="1:21" ht="12.75" customHeight="1" x14ac:dyDescent="0.2"><c r="B149" s="271"/><c r="C149" s="271"/><c r="D149" s="271"/><c r="E149" s="271"/><c r="F149" s="271"/><c r="G149" s="271"/><c r="H149" s="271"/><c r="I149" s="271"/><c r="J149" s="271"/><c r="K149" s="271"/><c r="L149" s="271"/><c r="M149" s="271"/><c r="N149" s="271"/><c r="O149" s="271"/><c r="P149" s="271"/><c r="Q149" s="271"/><c r="R149" s="271"/><c r="S149" s="271"/><c r="T149" s="271"/><c r="U149" s="271"/></row><row r="150" spans="1:21" ht="12.75" customHeight="1" x14ac:dyDescent="0.2"><c r="B150" s="271"/><c r="C150" s="271"/><c r="D150" s="271"/><c r="E150" s="271"/><c r="F150" s="271"/><c r="G150" s="271"/><c r="H150" s="271"/><c r="I150" s="271"/><c r="J150" s="271"/><c r="K150" s="271"/><c r="L150" s="271"/><c r="M150" s="271"/><c r="N150" s="271"/><c r="O150" s="271"/><c r="P150" s="271"/><c r="Q150" s="271"/><c r="R150" s="271"/><c r="S150" s="271"/><c r="T150" s="271"/><c r="U150" s="271"/></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17" zoomScale="70" zoomScaleNormal="70" workbookViewID_"0"><selection activeCell="O18" sqref="O18:Q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0" t="str"><f>Translation!$A$31</f><v>Plano de Acção para a Energia Sustentável nas Ilhas (PAES)</v></c><c r="B1" s="250"/><c r="C1" s="250"/><c r="D1" s="250"/><c r="E1" s="250"/><c r="F1" s="250"/><c r="G1" s="250"/><c r="H1" s="250"/><c r="I1" s="250"/><c r="J1" s="250"/><c r="K1" s="250"/><c r="L1" s="250"/><c r="M1" s="250"/><c r="N1" s="250"/><c r="O1" s="250"/><c r="P1" s="250"/><c r="Q1" s="250"/><c r="R1" s="250"/><c r="S1" s="250"/><c r="T1" s="250"/><c r="U1" s="250"/></row><row r="2" spans="1:30" s="21" customFormat="1" ht="28.5" customHeight="1" x14ac:dyDescent="0.25"><c r="A2" s="77"/><c r="B2" s="212" t="s"><v>1466</v></c><c r="C2" s="77"/><c r="D2" s="77"/><c r="E2" s="77"/><c r="F2" s="80"/><c r="G2" s="80"/><c r="H2" s="81"/><c r="I2" s="78" t="str"><f>Translation!$A$10</f><v>Ilha</v></c><c r="J2" s="79" t="str"><f>'Start here'!$B$5</f><v>Terceira</v></c><c r="K2" s="81"/><c r="L2" s="81"/><c r="M2" s="81"/><c r="N2" s="81"/><c r="O2" s="81"/><c r="P2" s="81"/><c r="Q2" s="81"/><c r="R2" s="150"/><c r="S2" s="152"/><c r="T2" s="78" t="str"><f>Translation!$A$51</f><v>Ano do inventário</v></c><c r="U2" s="151"><v>2020</v></c></row><row r="3" spans="1:30" ht="28.5" customHeight="1" x14ac:dyDescent="0.2"><c r="A3" s="116"/><c r="D3" s="116"/><c r="E3" s="116"/><c r="F3" s="116"/><c r="G3" s="116"/><c r="H3" s="116"/><c r="I3" s="116"/><c r="J3" s="118"/><c r="K3" s="118"/><c r="T3" s="27"/></row><row r="4" spans="1:30" ht="46.5" customHeight="1" x14ac:dyDescent="0.2"><c r="A4" s="264" t="str"><f>Translation!A155</f><v>INVENTÁRIO DE EMISSÕES DO PLANO EM 2020 (com implementação das acções para a energia sustentável)</v></c><c r="B4" s="264"/><c r="C4" s="264"/><c r="D4" s="264"/><c r="E4" s="264"/><c r="F4" s="264"/><c r="G4" s="264"/><c r="H4" s="264"/><c r="I4" s="264"/><c r="J4" s="264"/><c r="K4" s="264"/><c r="L4" s="264"/><c r="M4" s="264"/><c r="N4" s="264"/><c r="O4" s="264"/><c r="P4" s="264"/><c r="Q4" s="264"/><c r="R4" s="264"/><c r="S4" s="264"/><c r="T4" s="264"/><c r="U4" s="264"/><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68" t="str"><f>Translation!$A$53</f><v>Campos obrigatórios</v></c><c r="T6" s="268"/><c r="U6" s="268"/></row><row r="7" spans="1:30" s="126" customFormat="1" ht="36" x14ac:dyDescent="0.55000000000000004"><c r="A7" s="124" t="s"><v>0</v></c><c r="B7" s="125" t="str"><f>Translation!A50</f><v>DADOS GERAIS</v></c><c r="L7" s="127"/></row><row r="8" spans="1:30" ht="21" x14ac:dyDescent="0.35"><c r="A8" s="128"/><c r="B8" s="130" t="str"><f>Translation!A52</f><v>Número de habitantes</v></c><c r="C8" s="315"><v>56286</v></c><c r="D8" s="316"/><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Método de cálculo de CO2</v></c><c r="C10" s="317" t="str"><f>'Start here'!F7</f><v>Factores de emissão IPCC</v></c><c r="D10" s="317"/><c r="E10" s="317"/><c r="F10" s="317"/><c r="G10" s="317"/><c r="H10" s="317"/><c r="I10" s="317"/><c r="J10" s="31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RESULTADOS DO BALANÇO ENERGÉTICO</v></c><c r="C12" s="124"/><c r="D12" s="125"/><c r="E12" s="124"/><c r="F12" s="125"/><c r="G12" s="124"/><c r="H12" s="125"/><c r="I12" s="124"/><c r="J12" s="125"/><c r="K12" s="142"/><c r="L12" s="142"/><c r="M12" s="142"/><c r="N12" s="142"/></row><row r="13" spans="1:30" s="85" customFormat="1" ht="31.5" x14ac:dyDescent="0.5"><c r="B13" s="86" t="str"><f>Translation!A55</f><v>PROCURA DE ENERGIA FINAL</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75" t="str"><f>Translation!A56</f><v>SECTOR DE PROCURA</v></c><c r="C14" s="277" t="str"><f>Translation!A94</f><v>ENERGIA PARA CONSUMO FINAL</v></c><c r="D14" s="278"/><c r="E14" s="278"/><c r="F14" s="278"/><c r="G14" s="278"/><c r="H14" s="278"/><c r="I14" s="278"/><c r="J14" s="278"/><c r="K14" s="278"/><c r="L14" s="278"/><c r="M14" s="278"/><c r="N14" s="278"/><c r="O14" s="278"/><c r="P14" s="278"/><c r="Q14" s="278"/><c r="R14" s="278"/><c r="S14" s="278"/><c r="T14" s="278"/><c r="U14" s="279"/></row><row r="15" spans="1:30" s="51" customFormat="1" ht="18" customHeight="1" x14ac:dyDescent="0.25"><c r="B15" s="276"/><c r="C15" s="277" t="str"><f>Translation!A95</f><v>Serviços energéticos centralizados</v></c><c r="D15" s="278"/><c r="E15" s="278"/><c r="F15" s="279"/><c r="G15" s="277" t="str"><f>Translation!A99</f><v>Combustíveis fósseis</v></c><c r="H15" s="278"/><c r="I15" s="278"/><c r="J15" s="278"/><c r="K15" s="278"/><c r="L15" s="278"/><c r="M15" s="279"/><c r="N15" s="277" t="str"><f>Translation!A106</f><v>Fontes energéticas renováveis (excluindo electricidade e calor para venda a redes públicas)</v></c><c r="O15" s="278"/><c r="P15" s="278"/><c r="Q15" s="278"/><c r="R15" s="278"/><c r="S15" s="278"/><c r="T15" s="279"/><c r="U15" s="275" t="str"><f>Translation!A119</f><v>TOTAL</v></c></row><row r="16" spans="1:30" s="62" customFormat="1" ht="67.5" customHeight="1" x14ac:dyDescent="0.25"><c r="B16" s="61" t="str"><f>Translation!A58</f><v>Descrição do sector</v></c><c r="C16" s="110" t="str"><f>Translation!A96</f><v>Electricidade da rede pública</v></c><c r="D16" s="110" t="str"><f>Translation!A97</f><v>Calor de rede de pública</v></c><c r="E16" s="110" t="str"><f>Translation!A98</f><v>Frio de rede pública</v></c><c r="F16" s="110" t="str"><f>Translation!A117</f><v>Subtotal</v></c><c r="G16" s="110" t="str"><f>Translation!A100</f><v>Fuelóleo</v></c><c r="H16" s="110" t="str"><f>Translation!A101</f><v>Gasóleo</v></c><c r="I16" s="110" t="str"><f>Translation!A102</f><v>Gasolina</v></c><c r="J16" s="110" t="str"><f>Translation!A103</f><v>GPL</v></c><c r="K16" s="110" t="str"><f>Translation!A104</f><v>Gás natural</v></c><c r="L16" s="110" t="str"><f>Translation!A105</f><v>Carvão</v></c><c r="M16" s="110" t="str"><f>Translation!A117</f><v>Subtotal</v></c><c r="N16" s="110" t="str"><f>Translation!A109</f><v>Hídrica</v></c><c r="O16" s="110" t="str"><f>Translation!A110</f><v>Eólica</v></c><c r="P16" s="110" t="str"><f>Translation!A111</f><v>Solar</v></c><c r="Q16" s="110" t="str"><f>Translation!A112</f><v>Geotérmica</v></c><c r="R16" s="110" t="str"><f>Translation!A113</f><v>Oceânica</v></c><c r="S16" s="110" t="str"><f>Translation!A114</f><v>Biomassa</v></c><c r="T16" s="110" t="str"><f>Translation!A117</f><v>Subtotal</v></c><c r="U16" s="276"/></row><row r="17" spans="1:21" s="21" customFormat="1" ht="15.75" x14ac:dyDescent="0.25"><c r="A17" s="22"/><c r="B17" s="66" t="str"><f>Translation!A60</f><v>RESIDENCIAL</v></c><c r="C17" s="236"><f>SUM(C18:C26)</f><v>57823.640318598751</v></c><c r="D17" s="236"><f>SUM(D18:D26)</f><v>0</v></c><c r="E17" s="236"><f>SUM(E18:E26)</f><v>0</v></c><c r="F17" s="64"><f t="shared" ref="F17:F51" si="0">SUM(C17:E17)</f><v>57823.640318598751</v></c><c r="G17" s="236"><f t="shared" ref="G17:L17" si="1">SUM(G18:G26)</f><v>0</v></c><c r="H17" s="236"><f t="shared" si="1"/><v>0</v></c><c r="I17" s="236"><f t="shared" si="1"/><v>0</v></c><c r="J17" s="236"><f t="shared" si="1"/><v>42733.599922762492</v></c><c r="K17" s="236"><f t="shared" si="1"/><v>0</v></c><c r="L17" s="236"><f t="shared" si="1"/><v>0</v></c><c r="M17" s="64"><f t="shared" ref="M17:M51" si="2">SUM(G17:L17)</f><v>42733.599922762492</v></c><c r="N17" s="236"><f t="shared" ref="N17:S17" si="3">SUM(N18:N26)</f><v>0</v></c><c r="O17" s="236"><f t="shared" si="3"/><v>0</v></c><c r="P17" s="236"><f t="shared" si="3"/><v>12088.862115475784</v></c><c r="Q17" s="236"><f t="shared" si="3"/><v>0</v></c><c r="R17" s="236"><f t="shared" si="3"/><v>0</v></c><c r="S17" s="236"><f t="shared" si="3"/><v>0</v></c><c r="T17" s="64"><f t="shared" ref="T17:T51" si="4">SUM(N17:S17)</f><v>12088.862115475784</v></c><c r="U17" s="64"><f t="shared" ref="U17:U51" si="5">F17+M17+T17</f><v>112646.10235683703</v></c></row><row r="18" spans="1:21" s="21" customFormat="1" ht="15.75" x14ac:dyDescent="0.25"><c r="A18" s="22"/><c r="B18" s="182" t="str"><f>Translation!A61</f><v>Água quente</v></c><c r="C18" s="154"><v>60600.569639130998</v></c><c r="D18" s="154"/><c r="E18" s="154"/><c r="F18" s="64"><f t="shared" si="0"/><v>60600.569639130998</v></c><c r="G18" s="154"/><c r="H18" s="154"/><c r="I18" s="154"/><c r="J18" s="154"><v>42733.599922762492</v></c><c r="K18" s="154"><v>0</v></c><c r="L18" s="154"><v>0</v></c><c r="M18" s="64"><f t="shared" si="2"/><v>42733.599922762492</v></c><c r="N18" s="154"/><c r="O18" s="154"><v>0</v></c><c r="P18" s="154"><v>12088.862115475784</v></c><c r="Q18" s="154"><v>0</v></c><c r="R18" s="154"/><c r="S18" s="154"/><c r="T18" s="64"><f t="shared" si="4"/><v>12088.862115475784</v></c><c r="U18" s="64"><f t="shared" si="5"/><v>115423.03167736928</v></c></row><row r="19" spans="1:21" s="21" customFormat="1" ht="15.75" x14ac:dyDescent="0.25"><c r="A19" s="22"/><c r="B19" s="182" t="str"><f>Translation!A62</f><v>Aquecimento e arrefecimento</v></c><c r="C19" s="154"><v>0</v></c><c r="D19" s="154"/><c r="E19" s="154"/><c r="F19" s="64"><f t="shared" si="0"/><v>0</v></c><c r="G19" s="154"/><c r="H19" s="154"/><c r="I19" s="154"/><c r="J19" s="154"><v>0</v></c><c r="K19" s="154"><v>0</v></c><c r="L19" s="154"><v>0</v></c><c r="M19" s="64"><f t="shared" si="2"/><v>0</v></c><c r="N19" s="154"/><c r="O19" s="154"/><c r="P19" s="154"/><c r="Q19" s="154"/><c r="R19" s="154"/><c r="S19" s="154"/><c r="T19" s="64"><f t="shared" si="4"/><v>0</v></c><c r="U19" s="64"><f t="shared" si="5"/><v>0</v></c></row><row r="20" spans="1:21" s="21" customFormat="1" ht="15.75" x14ac:dyDescent="0.25"><c r="A20" s="22"/><c r="B20" s="182" t="str"><f>Translation!A63</f><v>Iluminação</v></c><c r="C20" s="154"><v>-1388.4646602661207</v></c><c r="D20" s="154"/><c r="E20" s="154"/><c r="F20" s="64"><f t="shared" si="0"/><v>-1388.4646602661207</v></c><c r="G20" s="154"/><c r="H20" s="154"/><c r="I20" s="154"/><c r="J20" s="154"/><c r="K20" s="154"/><c r="L20" s="154"/><c r="M20" s="64"><f t="shared" si="2"/><v>0</v></c><c r="N20" s="154"/><c r="O20" s="154"/><c r="P20" s="154"/><c r="Q20" s="154"/><c r="R20" s="154"/><c r="S20" s="154"/><c r="T20" s="64"><f t="shared" si="4"/><v>0</v></c><c r="U20" s="64"><f t="shared" si="5"/><v>-1388.4646602661207</v></c></row><row r="21" spans="1:21" s="21" customFormat="1" ht="15.75" x14ac:dyDescent="0.25"><c r="A21" s="22"/><c r="B21" s="182" t="str"><f>Translation!A64</f><v>Cozinha</v></c><c r="C21" s="154"><v>0</v></c><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Frigoríficos e congeladores</v></c><c r="C22" s="154"><v>-1388.4646602661207</v></c><c r="D22" s="154"/><c r="E22" s="154"/><c r="F22" s="64"><f t="shared" si="0"/><v>-1388.4646602661207</v></c><c r="G22" s="154"/><c r="H22" s="154"/><c r="I22" s="154"/><c r="J22" s="154"/><c r="K22" s="154"/><c r="L22" s="154"/><c r="M22" s="64"><f t="shared" si="2"/><v>0</v></c><c r="N22" s="154"/><c r="O22" s="154"/><c r="P22" s="154"/><c r="Q22" s="154"/><c r="R22" s="154"/><c r="S22" s="154"/><c r="T22" s="64"><f t="shared" si="4"/><v>0</v></c><c r="U22" s="64"><f t="shared" si="5"/><v>-1388.4646602661207</v></c></row><row r="23" spans="1:21" s="21" customFormat="1" ht="15.75" x14ac:dyDescent="0.25"><c r="A23" s="22"/><c r="B23" s="182" t="str"><f>Translation!A66</f><v>Máquinas de lavar e secar roupa</v></c><c r="C23" s="154"><v>0</v></c><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Máquinas de lavar louça</v></c><c r="C24" s="154"><v>0</v></c><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Televisores</v></c><c r="C25" s="154"><v>0</v></c><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Outros aparelhos eléctricos</v></c><c r="C26" s="154"><v>0</v></c><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SECTOR PRIMÁRIO</v></c><c r="C27" s="236"><f>SUM(C28:C29)</f><v>2755.9345864235497</v></c><c r="D27" s="236"><f>SUM(D28:D29)</f><v>0</v></c><c r="E27" s="236"><f>SUM(E28:E29)</f><v>0</v></c><c r="F27" s="64"><f t="shared" si="0"/><v>2755.9345864235497</v></c><c r="G27" s="236"><f t="shared" ref="G27:L27" si="6">SUM(G28:G29)</f><v>0</v></c><c r="H27" s="236"><f t="shared" si="6"/><v>68020.751991691723</v></c><c r="I27" s="236"><f t="shared" si="6"/><v>0</v></c><c r="J27" s="236"><f t="shared" si="6"/><v>0</v></c><c r="K27" s="236"><f t="shared" si="6"/><v>0</v></c><c r="L27" s="236"><f t="shared" si="6"/><v>0</v></c><c r="M27" s="64"><f t="shared" si="2"/><v>68020.751991691723</v></c><c r="N27" s="236"><f t="shared" ref="N27:S27" si="7">SUM(N28:N29)</f><v>0</v></c><c r="O27" s="236"><f t="shared" si="7"/><v>0</v></c><c r="P27" s="236"><f t="shared" si="7"/><v>0</v></c><c r="Q27" s="236"><f t="shared" si="7"/><v>0</v></c><c r="R27" s="236"><f t="shared" si="7"/><v>0</v></c><c r="S27" s="236"><f t="shared" si="7"/><v>0</v></c><c r="T27" s="64"><f t="shared" si="4"/><v>0</v></c><c r="U27" s="64"><f t="shared" si="5"/><v>70776.686578115274</v></c></row><row r="28" spans="1:21" s="21" customFormat="1" ht="15.75" x14ac:dyDescent="0.25"><c r="A28" s="22"/><c r="B28" s="183" t="str"><f>Translation!A71</f><v>Agricultura, produção animal, caça, floresta e pesca</v></c><c r="C28" s="154"><v>2588.0616258132472</v></c><c r="D28" s="154"/><c r="E28" s="154"/><c r="F28" s="64"><f t="shared" si="0"/><v>2588.0616258132472</v></c><c r="G28" s="154"/><c r="H28" s="154"><v>68020.751991691723</v></c><c r="I28" s="154"/><c r="J28" s="154"/><c r="K28" s="154"/><c r="L28" s="154"/><c r="M28" s="64"><f t="shared" si="2"/><v>68020.751991691723</v></c><c r="N28" s="154"/><c r="O28" s="154"/><c r="P28" s="154"/><c r="Q28" s="154"/><c r="R28" s="154"/><c r="S28" s="154"/><c r="T28" s="64"><f t="shared" si="4"/><v>0</v></c><c r="U28" s="64"><f t="shared" si="5"/><v>70608.813617504973</v></c></row><row r="29" spans="1:21" s="21" customFormat="1" ht="15.75" x14ac:dyDescent="0.25"><c r="A29" s="22"/><c r="B29" s="183" t="str"><f>Translation!A72</f><v>Indústrias extractivas</v></c><c r="C29" s="154"><v>167.87296061030227</v></c><c r="D29" s="154"/><c r="E29" s="154"/><c r="F29" s="64"><f t="shared" si="0"/><v>167.87296061030227</v></c><c r="G29" s="154"/><c r="H29" s="154"><v>0</v></c><c r="I29" s="154"/><c r="J29" s="154"/><c r="K29" s="154"/><c r="L29" s="154"/><c r="M29" s="64"><f t="shared" si="2"/><v>0</v></c><c r="N29" s="154"/><c r="O29" s="154"/><c r="P29" s="154"/><c r="Q29" s="154"/><c r="R29" s="154"/><c r="S29" s="154"/><c r="T29" s="64"><f t="shared" si="4"/><v>0</v></c><c r="U29" s="64"><f t="shared" si="5"/><v>167.87296061030227</v></c></row><row r="30" spans="1:21" s="21" customFormat="1" ht="15.75" x14ac:dyDescent="0.25"><c r="A30" s="22"/><c r="B30" s="61" t="str"><f>Translation!A73</f><v>SECTOR SECUNDÁRIO</v></c><c r="C30" s="236"><f>SUM(C31:C33)</f><v>25374.141364895568</v></c><c r="D30" s="236"><f>SUM(D31:D33)</f><v>0</v></c><c r="E30" s="236"><f>SUM(E31:E33)</f><v>0</v></c><c r="F30" s="64"><f t="shared" si="0"/><v>25374.141364895568</v></c><c r="G30" s="236"><f t="shared" ref="G30:L30" si="8">SUM(G31:G33)</f><v>60398.019680406273</v></c><c r="H30" s="236"><f t="shared" si="8"/><v>0</v></c><c r="I30" s="236"><f t="shared" si="8"/><v>0</v></c><c r="J30" s="236"><f t="shared" si="8"/><v>0</v></c><c r="K30" s="236"><f t="shared" si="8"/><v>0</v></c><c r="L30" s="236"><f t="shared" si="8"/><v>0</v></c><c r="M30" s="64"><f t="shared" si="2"/><v>60398.019680406273</v></c><c r="N30" s="236"><f t="shared" ref="N30:S30" si="9">SUM(N31:N33)</f><v>0</v></c><c r="O30" s="236"><f t="shared" si="9"/><v>0</v></c><c r="P30" s="236"><f t="shared" si="9"/><v>0</v></c><c r="Q30" s="236"><f t="shared" si="9"/><v>0</v></c><c r="R30" s="236"><f t="shared" si="9"/><v>0</v></c><c r="S30" s="236"><f t="shared" si="9"/><v>0</v></c><c r="T30" s="64"><f t="shared" si="4"/><v>0</v></c><c r="U30" s="64"><f t="shared" si="5"/><v>85772.161045301837</v></c></row><row r="31" spans="1:21" s="21" customFormat="1" ht="15.75" x14ac:dyDescent="0.25"><c r="A31" s="22"/><c r="B31" s="183" t="str"><f>Translation!A74</f><v>Indústrias transformadoras</v></c><c r="C31" s="154"><v>21311.668721000442</v></c><c r="D31" s="154"/><c r="E31" s="154"/><c r="F31" s="64"><f t="shared" si="0"/><v>21311.668721000442</v></c><c r="G31" s="154"><v>60398.019680406273</v></c><c r="H31" s="154"/><c r="I31" s="154"/><c r="J31" s="154"/><c r="K31" s="154"/><c r="L31" s="154"/><c r="M31" s="64"><f t="shared" si="2"/><v>60398.019680406273</v></c><c r="N31" s="154"/><c r="O31" s="154"/><c r="P31" s="154"/><c r="Q31" s="154"/><c r="R31" s="154"/><c r="S31" s="154"/><c r="T31" s="64"><f t="shared" si="4"/><v>0</v></c><c r="U31" s="64"><f t="shared" si="5"/><v>81709.688401406718</v></c></row><row r="32" spans="1:21" s="21" customFormat="1" ht="45" x14ac:dyDescent="0.25"><c r="A32" s="22"/><c r="B32" s="183" t="str"><f>Translation!A75</f><v>Captação, tratamento e distribuição de água; saneamento, gestão de resíduos
e despoluição</v></c><c r="C32" s="154"><v>1767.2029434279559</v></c><c r="D32" s="154"/><c r="E32" s="154"/><c r="F32" s="64"><f t="shared" si="0"/><v>1767.2029434279559</v></c><c r="G32" s="154"><v>0</v></c><c r="H32" s="154"/><c r="I32" s="154"/><c r="J32" s="154"/><c r="K32" s="154"/><c r="L32" s="154"/><c r="M32" s="64"><f t="shared" si="2"/><v>0</v></c><c r="N32" s="154"/><c r="O32" s="154"/><c r="P32" s="154"/><c r="Q32" s="154"/><c r="R32" s="154"/><c r="S32" s="154"/><c r="T32" s="64"><f t="shared" si="4"/><v>0</v></c><c r="U32" s="64"><f t="shared" si="5"/><v>1767.2029434279559</v></c></row><row r="33" spans="1:21" s="21" customFormat="1" ht="15.75" x14ac:dyDescent="0.25"><c r="A33" s="22"/><c r="B33" s="183" t="str"><f>Translation!A76</f><v>Construção</v></c><c r="C33" s="154"><v>2295.2697004671695</v></c><c r="D33" s="154"/><c r="E33" s="154"/><c r="F33" s="64"><f t="shared" si="0"/><v>2295.2697004671695</v></c><c r="G33" s="154"><v>0</v></c><c r="H33" s="154"/><c r="I33" s="154"/><c r="J33" s="154"/><c r="K33" s="154"/><c r="L33" s="154"/><c r="M33" s="64"><f t="shared" si="2"/><v>0</v></c><c r="N33" s="154"/><c r="O33" s="154"/><c r="P33" s="154"/><c r="Q33" s="154"/><c r="R33" s="154"/><c r="S33" s="154"/><c r="T33" s="64"><f t="shared" si="4"/><v>0</v></c><c r="U33" s="64"><f t="shared" si="5"/><v>2295.2697004671695</v></c></row><row r="34" spans="1:21" s="21" customFormat="1" ht="15.75" x14ac:dyDescent="0.25"><c r="A34" s="22"/><c r="B34" s="61" t="str"><f>Translation!A77</f><v>SECTOR TERCIÁRIO</v></c><c r="C34" s="236"><f>SUM(C35:C42)</f><v>115225.92426292734</v></c><c r="D34" s="236"><f>SUM(D35:D42)</f><v>0</v></c><c r="E34" s="236"><f>SUM(E35:E42)</f><v>0</v></c><c r="F34" s="64"><f t="shared" si="0"/><v>115225.92426292734</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115225.92426292734</v></c></row><row r="35" spans="1:21" s="21" customFormat="1" ht="30" x14ac:dyDescent="0.25"><c r="A35" s="22"/><c r="B35" s="183" t="str"><f>Translation!A78</f><v>Comércio por grosso e a retalho; reparação de veículos automóveis e motociclos</v></c><c r="C35" s="154"><v>26592.916731099041</v></c><c r="D35" s="154"/><c r="E35" s="154"/><c r="F35" s="64"><f t="shared" si="0"/><v>26592.916731099041</v></c><c r="G35" s="154"/><c r="H35" s="154"/><c r="I35" s="154"/><c r="J35" s="154"/><c r="K35" s="154"/><c r="L35" s="154"/><c r="M35" s="64"><f t="shared" si="2"/><v>0</v></c><c r="N35" s="154"/><c r="O35" s="154"/><c r="P35" s="154"/><c r="Q35" s="154"/><c r="R35" s="154"/><c r="S35" s="154"/><c r="T35" s="64"><f t="shared" si="4"/><v>0</v></c><c r="U35" s="64"><f t="shared" si="5"/><v>26592.916731099041</v></c></row><row r="36" spans="1:21" s="21" customFormat="1" ht="15.75" x14ac:dyDescent="0.25"><c r="A36" s="22"/><c r="B36" s="183" t="str"><f>Translation!A79</f><v>Alojamento, restauração e similares</v></c><c r="C36" s="154"><v>11248.01146395475</v></c><c r="D36" s="154"/><c r="E36" s="154"/><c r="F36" s="64"><f t="shared" si="0"/><v>11248.01146395475</v></c><c r="G36" s="154"/><c r="H36" s="154"/><c r="I36" s="154"/><c r="J36" s="154"/><c r="K36" s="154"/><c r="L36" s="154"/><c r="M36" s="64"><f t="shared" si="2"/><v>0</v></c><c r="N36" s="154"/><c r="O36" s="154"/><c r="P36" s="154"/><c r="Q36" s="154"/><c r="R36" s="154"/><c r="S36" s="154"/><c r="T36" s="64"><f t="shared" si="4"/><v>0</v></c><c r="U36" s="64"><f t="shared" si="5"/><v>11248.01146395475</v></c></row><row r="37" spans="1:21" s="21" customFormat="1" ht="15.75" x14ac:dyDescent="0.25"><c r="A37" s="22"/><c r="B37" s="183" t="str"><f>Translation!A80</f><v>Administração pública e segurança social</v></c><c r="C37" s="154"><v>11712.747573111712</v></c><c r="D37" s="154"/><c r="E37" s="154"/><c r="F37" s="64"><f t="shared" si="0"/><v>11712.747573111712</v></c><c r="G37" s="154"/><c r="H37" s="154"/><c r="I37" s="154"/><c r="J37" s="154"/><c r="K37" s="154"/><c r="L37" s="154"/><c r="M37" s="64"><f t="shared" si="2"/><v>0</v></c><c r="N37" s="154"/><c r="O37" s="154"/><c r="P37" s="154"/><c r="Q37" s="154"/><c r="R37" s="154"/><c r="S37" s="154"/><c r="T37" s="64"><f t="shared" si="4"/><v>0</v></c><c r="U37" s="64"><f t="shared" si="5"/><v>11712.747573111712</v></c></row><row r="38" spans="1:21" s="21" customFormat="1" ht="15.75" x14ac:dyDescent="0.25"><c r="A38" s="22"/><c r="B38" s="183" t="str"><f>Translation!A81</f><v>Defesa, justiça, polícia e bombeiros</v></c><c r="C38" s="154"><v>4399.4086424660291</v></c><c r="D38" s="154"/><c r="E38" s="154"/><c r="F38" s="64"><f t="shared" si="0"/><v>4399.4086424660291</v></c><c r="G38" s="154"/><c r="H38" s="154"/><c r="I38" s="154"/><c r="J38" s="154"/><c r="K38" s="154"/><c r="L38" s="154"/><c r="M38" s="64"><f t="shared" si="2"/><v>0</v></c><c r="N38" s="154"/><c r="O38" s="154"/><c r="P38" s="154"/><c r="Q38" s="154"/><c r="R38" s="154"/><c r="S38" s="154"/><c r="T38" s="64"><f t="shared" si="4"/><v>0</v></c><c r="U38" s="64"><f t="shared" si="5"/><v>4399.4086424660291</v></c></row><row r="39" spans="1:21" s="21" customFormat="1" ht="15.75" x14ac:dyDescent="0.25"><c r="A39" s="22"/><c r="B39" s="183" t="str"><f>Translation!A82</f><v>Educação</v></c><c r="C39" s="154"><v>2899.8262507934933</v></c><c r="D39" s="154"/><c r="E39" s="154"/><c r="F39" s="64"><f t="shared" si="0"/><v>2899.8262507934933</v></c><c r="G39" s="154"/><c r="H39" s="154"/><c r="I39" s="154"/><c r="J39" s="154"/><c r="K39" s="154"/><c r="L39" s="154"/><c r="M39" s="64"><f t="shared" si="2"/><v>0</v></c><c r="N39" s="154"/><c r="O39" s="154"/><c r="P39" s="154"/><c r="Q39" s="154"/><c r="R39" s="154"/><c r="S39" s="154"/><c r="T39" s="64"><f t="shared" si="4"/><v>0</v></c><c r="U39" s="64"><f t="shared" si="5"/><v>2899.8262507934933</v></c></row><row r="40" spans="1:21" s="21" customFormat="1" ht="15.75" x14ac:dyDescent="0.25"><c r="A40" s="22"/><c r="B40" s="183" t="str"><f>Translation!A83</f><v>Actividades de saúde humana e apoio social</v></c><c r="C40" s="154"><v>5948.9880384625912</v></c><c r="D40" s="154"/><c r="E40" s="154"/><c r="F40" s="64"><f t="shared" si="0"/><v>5948.9880384625912</v></c><c r="G40" s="154"/><c r="H40" s="154"/><c r="I40" s="154"/><c r="J40" s="154"/><c r="K40" s="154"/><c r="L40" s="154"/><c r="M40" s="64"><f t="shared" si="2"/><v>0</v></c><c r="N40" s="154"/><c r="O40" s="154"/><c r="P40" s="154"/><c r="Q40" s="154"/><c r="R40" s="154"/><c r="S40" s="154"/><c r="T40" s="64"><f t="shared" si="4"/><v>0</v></c><c r="U40" s="64"><f t="shared" si="5"/><v>5948.9880384625912</v></c></row><row r="41" spans="1:21" s="21" customFormat="1" ht="15.75" x14ac:dyDescent="0.25"><c r="A41" s="22"/><c r="B41" s="183" t="str"><f>Translation!A84</f><v>Outros serviços</v></c><c r="C41" s="154"><v>47635.857921086616</v></c><c r="D41" s="154"/><c r="E41" s="154"/><c r="F41" s="64"><f t="shared" si="0"/><v>47635.857921086616</v></c><c r="G41" s="154"/><c r="H41" s="154"/><c r="I41" s="154"/><c r="J41" s="154"/><c r="K41" s="154"/><c r="L41" s="154"/><c r="M41" s="64"><f t="shared" si="2"/><v>0</v></c><c r="N41" s="154"/><c r="O41" s="154"/><c r="P41" s="154"/><c r="Q41" s="154"/><c r="R41" s="154"/><c r="S41" s="154"/><c r="T41" s="64"><f t="shared" si="4"/><v>0</v></c><c r="U41" s="64"><f t="shared" si="5"/><v>47635.857921086616</v></c></row><row r="42" spans="1:21" s="21" customFormat="1" ht="15.75" x14ac:dyDescent="0.25"><c r="A42" s="22"/><c r="B42" s="183" t="str"><f>Translation!A85</f><v>Iluminação pública</v></c><c r="C42" s="154"><v>4788.1676419531168</v></c><c r="D42" s="154"/><c r="E42" s="154"/><c r="F42" s="64"><f t="shared" si="0"/><v>4788.1676419531168</v></c><c r="G42" s="154"/><c r="H42" s="154"/><c r="I42" s="154"/><c r="J42" s="154"/><c r="K42" s="154"/><c r="L42" s="154"/><c r="M42" s="64"><f t="shared" si="2"/><v>0</v></c><c r="N42" s="154"/><c r="O42" s="154"/><c r="P42" s="154"/><c r="Q42" s="154"/><c r="R42" s="154"/><c r="S42" s="154"/><c r="T42" s="64"><f t="shared" si="4"/><v>0</v></c><c r="U42" s="64"><f t="shared" si="5"/><v>4788.1676419531168</v></c></row><row r="43" spans="1:21" s="21" customFormat="1" ht="15.75" x14ac:dyDescent="0.25"><c r="A43" s="22"/><c r="B43" s="61" t="str"><f>Translation!A86</f><v>TRANSPORTES</v></c><c r="C43" s="236"><f>SUM(C44:C47)</f><v>4420.5856681208252</v></c><c r="D43" s="236"><f>SUM(D44:D47)</f><v>0</v></c><c r="E43" s="236"><f>SUM(E44:E47)</f><v>0</v></c><c r="F43" s="64"><f t="shared" si="0"/><v>4420.5856681208252</v></c><c r="G43" s="236"><f t="shared" ref="G43:L43" si="12">SUM(G44:G47)</f><v>0</v></c><c r="H43" s="236"><f t="shared" si="12"/><v>223179.42221676573</v></c><c r="I43" s="236"><f t="shared" si="12"/><v>100496.26633010566</v></c><c r="J43" s="236"><f t="shared" si="12"/><v>0</v></c><c r="K43" s="236"><f t="shared" si="12"/><v>0</v></c><c r="L43" s="236"><f t="shared" si="12"/><v>0</v></c><c r="M43" s="64"><f t="shared" si="2"/><v>323675.68854687142</v></c><c r="N43" s="236"><f t="shared" ref="N43:S43" si="13">SUM(N44:N47)</f><v>0</v></c><c r="O43" s="236"><f t="shared" si="13"/><v>0</v></c><c r="P43" s="236"><f t="shared" si="13"/><v>0</v></c><c r="Q43" s="236"><f t="shared" si="13"/><v>0</v></c><c r="R43" s="236"><f t="shared" si="13"/><v>0</v></c><c r="S43" s="236"><f t="shared" si="13"/><v>0</v></c><c r="T43" s="64"><f t="shared" si="4"/><v>0</v></c><c r="U43" s="64"><f t="shared" si="5"/><v>328096.27421499224</v></c></row><row r="44" spans="1:21" s="21" customFormat="1" ht="30" x14ac:dyDescent="0.25"><c r="A44" s="22"/><c r="B44" s="183" t="str"><f>Translation!A87</f><v>Transporte de passageiros por estrada (transportes públicos, táxis, turismo, transporte escolar, etc.)</v></c><c r="C44" s="154"><v>4287.9273448633085</v></c><c r="D44" s="154"/><c r="E44" s="154"/><c r="F44" s="64"><f t="shared" si="0"/><v>4287.9273448633085</v></c><c r="G44" s="154"/><c r="H44" s="154"><v>223179.42221676573</v></c><c r="I44" s="154"><v>100496.26633010566</v></c><c r="J44" s="154"><v>0</v></c><c r="K44" s="154"><v>0</v></c><c r="L44" s="154"/><c r="M44" s="64"><f t="shared" si="2"/><v>323675.68854687142</v></c><c r="N44" s="154"/><c r="O44" s="154"/><c r="P44" s="154"/><c r="Q44" s="154"/><c r="R44" s="154"/><c r="S44" s="154"/><c r="T44" s="64"><f t="shared" si="4"/><v>0</v></c><c r="U44" s="64"><f t="shared" si="5"/><v>327963.61589173472</v></c></row><row r="45" spans="1:21" s="21" customFormat="1" ht="30" x14ac:dyDescent="0.25"><c r="A45" s="22"/><c r="B45" s="183" t="str"><f>Translation!A88</f><v>Transporte de mercadorias por estrada e serviços de mudanças</v></c><c r="C45" s="154"><v>0</v></c><c r="D45" s="154"/><c r="E45" s="154"/><c r="F45" s="64"><f t="shared" si="0"/><v>0</v></c><c r="G45" s="154"/><c r="H45" s="154"><v>0</v></c><c r="I45" s="154"><v>0</v></c><c r="J45" s="154"><v>0</v></c><c r="K45" s="154"><v>0</v></c><c r="L45" s="154"/><c r="M45" s="64"><f t="shared" si="2"/><v>0</v></c><c r="N45" s="154"/><c r="O45" s="154"/><c r="P45" s="154"/><c r="Q45" s="154"/><c r="R45" s="154"/><c r="S45" s="154"/><c r="T45" s="64"><f t="shared" si="4"/><v>0</v></c><c r="U45" s="64"><f t="shared" si="5"/><v>0</v></c></row><row r="46" spans="1:21" s="21" customFormat="1" ht="15.75" x14ac:dyDescent="0.25"><c r="A46" s="22"/><c r="B46" s="183" t="str"><f>Translation!A89</f><v>Outras frotas de serviços públicos e privados</v></c><c r="C46" s="154"><v>94.302110306578129</v></c><c r="D46" s="154"/><c r="E46" s="154"/><c r="F46" s="64"><f t="shared" si="0"/><v>94.302110306578129</v></c><c r="G46" s="154"/><c r="H46" s="154"><v>0</v></c><c r="I46" s="154"><v>0</v></c><c r="J46" s="154"><v>0</v></c><c r="K46" s="154"><v>0</v></c><c r="L46" s="154"/><c r="M46" s="64"><f t="shared" si="2"/><v>0</v></c><c r="N46" s="154"/><c r="O46" s="154"/><c r="P46" s="154"/><c r="Q46" s="154"/><c r="R46" s="154"/><c r="S46" s="154"/><c r="T46" s="64"><f t="shared" si="4"/><v>0</v></c><c r="U46" s="64"><f t="shared" si="5"/><v>94.302110306578129</v></c></row><row r="47" spans="1:21" s="21" customFormat="1" ht="15.75" x14ac:dyDescent="0.25"><c r="A47" s="22"/><c r="B47" s="182" t="str"><f>Translation!A90</f><v>Transporte particular</v></c><c r="C47" s="154"><v>38.356212950937987</v></c><c r="D47" s="154"/><c r="E47" s="154"/><c r="F47" s="64"><f t="shared" si="0"/><v>38.356212950937987</v></c><c r="G47" s="154"/><c r="H47" s="154"><v>0</v></c><c r="I47" s="154"><v>0</v></c><c r="J47" s="154"><v>0</v></c><c r="K47" s="154"><v>0</v></c><c r="L47" s="154"/><c r="M47" s="64"><f t="shared" si="2"/><v>0</v></c><c r="N47" s="154"/><c r="O47" s="154"/><c r="P47" s="154"/><c r="Q47" s="154"/><c r="R47" s="154"/><c r="S47" s="154"/><c r="T47" s="64"><f t="shared" si="4"/><v>0</v></c><c r="U47" s="64"><f t="shared" si="5"/><v>38.356212950937987</v></c></row><row r="48" spans="1:21" s="21" customFormat="1" ht="15.75" x14ac:dyDescent="0.25"><c r="A48" s="22"/><c r="B48" s="73" t="str"><f>Translation!A118</f><v>TOTAL PARA MERCADO INTERNO</v></c><c r="C48" s="65"><f>C17+C27+C30+C34+C43</f><v>205600.22620096605</v></c><c r="D48" s="65"><f>D17+D27+D30+D34+D43</f><v>0</v></c><c r="E48" s="65"><f>E17+E27+E30+E34+E43</f><v>0</v></c><c r="F48" s="64"><f t="shared" si="0"/><v>205600.22620096605</v></c><c r="G48" s="65"><f t="shared" ref="G48:L48" si="14">G17+G27+G30+G34+G43</f><v>60398.019680406273</v></c><c r="H48" s="65"><f t="shared" si="14"/><v>291200.17420845747</v></c><c r="I48" s="65"><f t="shared" si="14"/><v>100496.26633010566</v></c><c r="J48" s="65"><f t="shared" si="14"/><v>42733.599922762492</v></c><c r="K48" s="65"><f t="shared" si="14"/><v>0</v></c><c r="L48" s="65"><f t="shared" si="14"/><v>0</v></c><c r="M48" s="64"><f t="shared" si="2"/><v>494828.06014173187</v></c><c r="N48" s="65"><f t="shared" ref="N48:S48" si="15">N17+N27+N30+N34+N43</f><v>0</v></c><c r="O48" s="65"><f t="shared" si="15"/><v>0</v></c><c r="P48" s="65"><f t="shared" si="15"/><v>12088.862115475784</v></c><c r="Q48" s="65"><f t="shared" si="15"/><v>0</v></c><c r="R48" s="65"><f t="shared" si="15"/><v>0</v></c><c r="S48" s="65"><f t="shared" si="15"/><v>0</v></c><c r="T48" s="64"><f t="shared" si="4"/><v>12088.862115475784</v></c><c r="U48" s="64"><f t="shared" si="5"/><v>712517.14845817373</v></c></row><row r="49" spans="2:32" s="62" customFormat="1" ht="30" x14ac:dyDescent="0.25"><c r="B49" s="182" t="str"><f>Translation!A91</f><v>Reexportação (navios, aviões, zonas francas industriais, bases militares nacionais ou internacionais,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Actividades consumidoras intensivas de energia para exportação (para excluir do balanço energético da ilha)</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Outros (para excluir do balanço energético da ilha)</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205600.22620096605</v></c><c r="D52" s="53"><f t="shared" ref="D52:U52" si="16">SUM(D48:D51)</f><v>0</v></c><c r="E52" s="53"><f t="shared" si="16"/><v>0</v></c><c r="F52" s="53"><f t="shared" si="16"/><v>205600.22620096605</v></c><c r="G52" s="53"><f t="shared" si="16"/><v>60398.019680406273</v></c><c r="H52" s="53"><f t="shared" si="16"/><v>291200.17420845747</v></c><c r="I52" s="53"><f t="shared" si="16"/><v>100496.26633010566</v></c><c r="J52" s="53"><f t="shared" si="16"/><v>42733.599922762492</v></c><c r="K52" s="53"><f t="shared" si="16"/><v>0</v></c><c r="L52" s="53"><f t="shared" si="16"/><v>0</v></c><c r="M52" s="53"><f t="shared" si="16"/><v>494828.06014173187</v></c><c r="N52" s="53"><f t="shared" si="16"/><v>0</v></c><c r="O52" s="53"><f t="shared" si="16"/><v>0</v></c><c r="P52" s="53"><f t="shared" si="16"/><v>12088.862115475784</v></c><c r="Q52" s="53"><f t="shared" si="16"/><v>0</v></c><c r="R52" s="53"><f t="shared" si="16"/><v>0</v></c><c r="S52" s="53"><f t="shared" si="16"/><v>0</v></c><c r="T52" s="53"><f t="shared" si="16"/><v>12088.862115475784</v></c><c r="U52" s="53"><f t="shared" si="16"/><v>712517.14845817373</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PRODUÇÃO DE ENERGIA SECUNDÁRIA E FLUXOS ENERGÉTICOS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75" t="str"><f>Translation!A121</f><v>SECTOR DE PRODUÇÃO</v></c><c r="C56" s="277" t="str"><f>Translation!A122</f><v>FONTE DE ENERGIA</v></c><c r="D56" s="278"/><c r="E56" s="278"/><c r="F56" s="278"/><c r="G56" s="278"/><c r="H56" s="278"/><c r="I56" s="278"/><c r="J56" s="278"/><c r="K56" s="278"/><c r="L56" s="278"/><c r="M56" s="278"/><c r="N56" s="278"/><c r="O56" s="278"/><c r="P56" s="278"/><c r="Q56" s="278"/><c r="R56" s="278"/><c r="S56" s="279"/><c r="T56" s="277" t="str"><f>Translation!A139</f><v>CONVERSÃO DE ENERGIA SECUNDÁRIA</v></c><c r="U56" s="278"/><c r="V56" s="279"/><c r="W56" s="296" t="str"><f>Translation!A130</f><v>FLUXOS ENERGÉTICOS</v></c><c r="X56" s="297"/><c r="Y56" s="297"/><c r="Z56" s="297"/><c r="AA56" s="297"/><c r="AB56" s="298"/><c r="AC56" s="308" t="str"><f>Translation!A119</f><v>TOTAL</v></c><c r="AD56" s="258" t="str"><f>Translation!A138</f><v>Perdas de distribuição e consumos próprios</v></c></row><row r="57" spans="2:32" s="51" customFormat="1" ht="18" customHeight="1" x14ac:dyDescent="0.25"><c r="B57" s="276"/><c r="C57" s="312" t="str"><f>Translation!A99</f><v>Combustíveis fósseis</v></c><c r="D57" s="313"/><c r="E57" s="313"/><c r="F57" s="313"/><c r="G57" s="313"/><c r="H57" s="313"/><c r="I57" s="314"/><c r="J57" s="312" t="str"><f>Translation!A107</f><v>Fontes energéticas renováveis (de sistemas ligados a redes públicas)</v></c><c r="K57" s="313"/><c r="L57" s="313"/><c r="M57" s="313"/><c r="N57" s="313"/><c r="O57" s="313"/><c r="P57" s="313"/><c r="Q57" s="313"/><c r="R57" s="314"/><c r="S57" s="258" t="str"><f>Translation!A117</f><v>Subtotal</v></c><c r="T57" s="306" t="str"><f>Translation!A140</f><v>Conversão de electricidade para frio</v></c><c r="U57" s="306" t="str"><f>Translation!A141</f><v>Conversão de calor para frio</v></c><c r="V57" s="258" t="str"><f>Translation!A117</f><v>Subtotal</v></c><c r="W57" s="310" t="str"><f>Translation!A131</f><v>Armazenamento</v></c><c r="X57" s="311"/><c r="Y57" s="309" t="str"><f>Translation!A134</f><v>Ligação externa</v></c><c r="Z57" s="309"/><c r="AA57" s="275" t="str"><f>Translation!A137</f><v>Reexportação e consumos externos</v></c><c r="AB57" s="258" t="str"><f>Translation!A117</f><v>Subtotal</v></c><c r="AC57" s="308"/><c r="AD57" s="258"/></row><row r="58" spans="2:32" s="51" customFormat="1" ht="69.75" customHeight="1" x14ac:dyDescent="0.25"><c r="B58" s="69" t="str"><f>Translation!A123</f><v>Produto energético</v></c><c r="C58" s="106" t="str"><f>Translation!A100</f><v>Fuelóleo</v></c><c r="D58" s="106" t="str"><f>Translation!A101</f><v>Gasóleo</v></c><c r="E58" s="106" t="str"><f>Translation!A102</f><v>Gasolina</v></c><c r="F58" s="106" t="str"><f>Translation!A103</f><v>GPL</v></c><c r="G58" s="106" t="str"><f>Translation!A104</f><v>Gás natural</v></c><c r="H58" s="106" t="str"><f>Translation!A105</f><v>Carvão</v></c><c r="I58" s="106" t="str"><f>Translation!A117</f><v>Subtotal</v></c><c r="J58" s="106" t="str"><f>Translation!A109</f><v>Hídrica</v></c><c r="K58" s="106" t="str"><f>Translation!A110</f><v>Eólica</v></c><c r="L58" s="106" t="str"><f>Translation!A111</f><v>Solar</v></c><c r="M58" s="106" t="str"><f>Translation!A112</f><v>Geotérmica</v></c><c r="N58" s="106" t="str"><f>Translation!A113</f><v>Oceânica</v></c><c r="O58" s="106" t="str"><f>Translation!A114</f><v>Biomassa</v></c><c r="P58" s="106" t="str"><f>Translation!A115</f><v>Resíduos urbanos</v></c><c r="Q58" s="106" t="str"><f>Translation!A116</f><v>Recuperação de energia</v></c><c r="R58" s="106" t="str"><f>Translation!A117</f><v>Subtotal</v></c><c r="S58" s="258"/><c r="T58" s="307"/><c r="U58" s="307"/><c r="V58" s="258"/><c r="W58" s="110" t="str"><f>Translation!A132</f><v>Entrada para armazenamento</v></c><c r="X58" s="110" t="str"><f>Translation!A133</f><v>Saída do armazenamento</v></c><c r="Y58" s="110" t="str"><f>Translation!A135</f><v>Importação para a ilha</v></c><c r="Z58" s="110" t="str"><f>Translation!A136</f><v>Exportação da ilha</v></c><c r="AA58" s="276"/><c r="AB58" s="258"/><c r="AC58" s="308"/><c r="AD58" s="258"/></row><row r="59" spans="2:32" s="51" customFormat="1" ht="15.75" x14ac:dyDescent="0.25"><c r="B59" s="184" t="str"><f>Translation!A124</f><v>Electricidade</v></c><c r="C59" s="237"><v>110777.99577885115</v></c><c r="D59" s="237"><v>3987.7</v></c><c r="E59" s="237"/><c r="F59" s="237"/><c r="G59" s="237"><v>0</v></c><c r="H59" s="237"><v>0</v></c><c r="I59" s="59"><f>SUM(C59:H59)</f><v>114765.69577885115</v></c><c r="J59" s="237"><v>1770</v></c><c r="K59" s="237"><v>45552</v></c><c r="L59" s="237"><v>3285</v></c><c r="M59" s="237"><v>47304</v></c><c r="N59" s="237"><v>0</v></c><c r="O59" s="237"><v>15768</v></c><c r="P59" s="237"><v>0</v></c><c r="Q59" s="237"><v>0</v></c><c r="R59" s="59"><f>SUM(J59:Q59)</f><v>113679</v></c><c r="S59" s="59"><f>I59+R59</f><v>228444.69577885116</v></c><c r="T59" s="237"/><c r="U59" s="237"/><c r="V59" s="59"><f>-T59</f><v>0</v></c><c r="W59" s="237"/><c r="X59" s="237"/><c r="Y59" s="237"/><c r="Z59" s="237"/><c r="AA59" s="186"><f>$C$49+$C$50+$C$51</f><v>0</v></c><c r="AB59" s="59"><f>-SUM(W59)+SUM(X59:Y59)-SUM(Z59:AA59)</f><v>0</v></c><c r="AC59" s="64"><f>S59+V59+AB59</f><v>228444.69577885116</v></c><c r="AD59" s="187"><f>AC59-C48</f><v>22844.469577885116</v></c></row><row r="60" spans="2:32" s="51" customFormat="1" ht="15.75" x14ac:dyDescent="0.25"><c r="B60" s="183" t="str"><f>Translation!A125</f><v>Calor</v></c><c r="C60" s="237"><v>0</v></c><c r="D60" s="237"><v>0</v></c><c r="E60" s="237"/><c r="F60" s="237"/><c r="G60" s="237"><v>0</v></c><c r="H60" s="237"><v>0</v></c><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Frio</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110777.99577885115</v></c><c r="D62" s="53"><f t="shared" si="17"/><v>3987.7</v></c><c r="E62" s="53"><f t="shared" si="17"/><v>0</v></c><c r="F62" s="53"><f t="shared" si="17"/><v>0</v></c><c r="G62" s="53"><f t="shared" si="17"/><v>0</v></c><c r="H62" s="53"><f t="shared" si="17"/><v>0</v></c><c r="I62" s="53"><f t="shared" si="17"/><v>114765.69577885115</v></c><c r="J62" s="53"><f t="shared" si="17"/><v>1770</v></c><c r="K62" s="53"><f t="shared" si="17"/><v>45552</v></c><c r="L62" s="53"><f t="shared" si="17"/><v>3285</v></c><c r="M62" s="53"><f t="shared" si="17"/><v>47304</v></c><c r="N62" s="53"><f t="shared" si="17"/><v>0</v></c><c r="O62" s="53"><f t="shared" si="17"/><v>15768</v></c><c r="P62" s="53"><f t="shared" si="17"/><v>0</v></c><c r="Q62" s="53"><f t="shared" si="17"/><v>0</v></c><c r="R62" s="53"><f t="shared" si="17"/><v>113679</v></c><c r="S62" s="53"><f t="shared" si="17"/><v>228444.69577885116</v></c><c r="T62" s="53"><f t="shared" si="17"/><v>0</v></c><c r="U62" s="53"><f t="shared" si="17"/><v>0</v></c><c r="V62" s="53"><f t="shared" si="17"/><v>0</v></c><c r="W62" s="53"><f t="shared" si="17"/><v>0</v></c><c r="X62" s="53"><f t="shared" si="17"/><v>0</v></c><c r="Y62" s="53"><f t="shared" si="17"/><v>0</v></c><c r="Z62" s="53"><f t="shared" si="17"/><v>0</v></c><c r="AA62" s="53"><f t="shared" si="17"/><v>0</v></c><c r="AB62" s="53"><f t="shared" si="17"/><v>0</v></c><c r="AC62" s="53"><f t="shared" si="17"/><v>228444.69577885116</v></c><c r="AD62" s="53"><f t="shared" si="17"/><v>22844.469577885116</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ENERGIA PRIMÁRIA CONVERTIDA EM ENERGIA SECUNDÁRIA (consumo de energia primária)</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75" t="str"><f>Translation!A121</f><v>SECTOR DE PRODUÇÃO</v></c><c r="C66" s="303" t="str"><f>Translation!A143</f><v>FONTE DE ENERGIA PRIMÁRIA</v></c><c r="D66" s="304"/><c r="E66" s="304"/><c r="F66" s="304"/><c r="G66" s="304"/><c r="H66" s="304"/><c r="I66" s="304"/><c r="J66" s="304"/><c r="K66" s="304"/><c r="L66" s="304"/><c r="M66" s="304"/><c r="N66" s="304"/><c r="O66" s="304"/><c r="P66" s="304"/><c r="Q66" s="304"/><c r="R66" s="304"/><c r="S66" s="305"/><c r="T66" s="299" t="str"><f>Translation!A128</f><v>Perdas de conversão de energia primária em energia secundária</v></c><c r="U66" s="57"/><c r="V66" s="57"/><c r="W66" s="68"/><c r="X66" s="57"/><c r="Y66" s="57"/><c r="Z66" s="57"/><c r="AA66" s="57"/><c r="AB66" s="57"/><c r="AC66" s="57"/><c r="AD66" s="57"/><c r="AE66" s="57"/></row><row r="67" spans="2:31" s="51" customFormat="1" ht="15" customHeight="1" x14ac:dyDescent="0.25"><c r="B67" s="276"/><c r="C67" s="303" t="str"><f>Translation!A99</f><v>Combustíveis fósseis</v></c><c r="D67" s="304"/><c r="E67" s="304"/><c r="F67" s="304"/><c r="G67" s="304"/><c r="H67" s="304"/><c r="I67" s="305"/><c r="J67" s="303" t="str"><f>Translation!A108</f><v>Fontes energéticas renováveis</v></c><c r="K67" s="304"/><c r="L67" s="304"/><c r="M67" s="304"/><c r="N67" s="304"/><c r="O67" s="304"/><c r="P67" s="304"/><c r="Q67" s="304"/><c r="R67" s="305"/><c r="S67" s="302" t="str"><f>Translation!A119</f><v>TOTAL</v></c><c r="T67" s="300"/><c r="U67" s="57"/><c r="V67" s="57"/><c r="W67" s="68"/><c r="X67" s="57"/><c r="Y67" s="57"/><c r="Z67" s="57"/><c r="AA67" s="57"/><c r="AB67" s="57"/><c r="AC67" s="57"/><c r="AD67" s="57"/><c r="AE67" s="57"/></row><row r="68" spans="2:31" s="51" customFormat="1" ht="69.75" customHeight="1" x14ac:dyDescent="0.25"><c r="B68" s="69" t="str"><f>Translation!A123</f><v>Produto energético</v></c><c r="C68" s="109" t="str"><f>Translation!A100</f><v>Fuelóleo</v></c><c r="D68" s="109" t="str"><f>Translation!A101</f><v>Gasóleo</v></c><c r="E68" s="109" t="str"><f>Translation!A102</f><v>Gasolina</v></c><c r="F68" s="109" t="str"><f>Translation!A103</f><v>GPL</v></c><c r="G68" s="109" t="str"><f>Translation!A104</f><v>Gás natural</v></c><c r="H68" s="109" t="str"><f>Translation!A105</f><v>Carvão</v></c><c r="I68" s="109" t="str"><f>Translation!A117</f><v>Subtotal</v></c><c r="J68" s="109" t="str"><f>Translation!A109</f><v>Hídrica</v></c><c r="K68" s="109" t="str"><f>Translation!A110</f><v>Eólica</v></c><c r="L68" s="109" t="str"><f>Translation!A111</f><v>Solar</v></c><c r="M68" s="109" t="str"><f>Translation!A112</f><v>Geotérmica</v></c><c r="N68" s="109" t="str"><f>Translation!A113</f><v>Oceânica</v></c><c r="O68" s="109" t="str"><f>Translation!A114</f><v>Biomassa</v></c><c r="P68" s="109" t="str"><f>Translation!A115</f><v>Resíduos urbanos</v></c><c r="Q68" s="109" t="str"><f>Translation!A116</f><v>Recuperação de energia</v></c><c r="R68" s="109" t="str"><f>Translation!A117</f><v>Subtotal</v></c><c r="S68" s="302"/><c r="T68" s="301"/><c r="U68" s="57"/><c r="V68" s="57"/><c r="W68" s="68"/><c r="X68" s="57"/><c r="Y68" s="57"/><c r="Z68" s="57"/><c r="AA68" s="57"/><c r="AB68" s="57"/><c r="AC68" s="57"/><c r="AD68" s="57"/><c r="AE68" s="57"/></row><row r="69" spans="2:31" s="51" customFormat="1" ht="15.75" x14ac:dyDescent="0.25"><c r="B69" s="184" t="str"><f>Translation!A124</f><v>Electricidade</v></c><c r="C69" s="237"><v>259129.81468737108</v></c><c r="D69" s="237"><v>9327.9532163742679</v></c><c r="E69" s="237"/><c r="F69" s="237"/><c r="G69" s="237"><v>0</v></c><c r="H69" s="237"><v>0</v></c><c r="I69" s="59"><f>SUM(C69:H69)</f><v>268457.76790374535</v></c><c r="J69" s="185"><f>J59</f><v>1770</v></c><c r="K69" s="185"><f t="shared" ref="K69:P69" si="18">K59</f><v>45552</v></c><c r="L69" s="185"><f t="shared" si="18"/><v>3285</v></c><c r="M69" s="185"><f t="shared" si="18"/><v>47304</v></c><c r="N69" s="185"><f t="shared" si="18"/><v>0</v></c><c r="O69" s="237"/><c r="P69" s="185"><f t="shared" si="18"/><v>0</v></c><c r="Q69" s="185"/><c r="R69" s="59"><f>SUM(J69:Q69)</f><v>97911</v></c><c r="S69" s="59"><f>I69+R69</f><v>366368.76790374535</v></c><c r="T69" s="71"><f>S69-AC59+AB59</f><v>137924.07212489418</v></c><c r="U69" s="57"/><c r="V69" s="57"/><c r="W69" s="58"/><c r="X69" s="57"/><c r="Y69" s="57"/><c r="Z69" s="57"/><c r="AA69" s="57"/><c r="AB69" s="57"/><c r="AC69" s="57"/><c r="AD69" s="57"/><c r="AE69" s="57"/></row><row r="70" spans="2:31" s="51" customFormat="1" ht="15.75" x14ac:dyDescent="0.25"><c r="B70" s="184" t="str"><f>Translation!A125</f><v>Calor</v></c><c r="C70" s="237"><v>0</v></c><c r="D70" s="237"><v>0</v></c><c r="E70" s="237"/><c r="F70" s="237"/><c r="G70" s="237"><v>0</v></c><c r="H70" s="237"><v>0</v></c><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Frio</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259129.81468737108</v></c><c r="D72" s="53"><f t="shared" si="20"/><v>9327.9532163742679</v></c><c r="E72" s="53"><f t="shared" si="20"/><v>0</v></c><c r="F72" s="53"><f t="shared" si="20"/><v>0</v></c><c r="G72" s="53"><f t="shared" si="20"/><v>0</v></c><c r="H72" s="53"><f t="shared" si="20"/><v>0</v></c><c r="I72" s="53"><f t="shared" si="20"/><v>268457.76790374535</v></c><c r="J72" s="53"><f t="shared" si="20"/><v>1770</v></c><c r="K72" s="53"><f t="shared" si="20"/><v>45552</v></c><c r="L72" s="53"><f t="shared" si="20"/><v>3285</v></c><c r="M72" s="53"><f t="shared" si="20"/><v>47304</v></c><c r="N72" s="53"><f t="shared" si="20"/><v>0</v></c><c r="O72" s="53"><f t="shared" si="20"/><v>0</v></c><c r="P72" s="53"><f t="shared" si="20"/><v>0</v></c><c r="Q72" s="53"><f t="shared" si="20"/><v>0</v></c><c r="R72" s="53"><f t="shared" si="20"/><v>97911</v></c><c r="S72" s="53"><f t="shared" si="20"/><v>366368.76790374535</v></c><c r="T72" s="71"><f>S72-AC62+AB62</f><v>137924.07212489418</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PROCURA DE ENERGIA PRIMÁRIA</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18" t="str"><f>Translation!A123</f><v>Produto energético</v></c><c r="C76" s="277" t="str"><f>Translation!A143</f><v>FONTE DE ENERGIA PRIMÁRIA</v></c><c r="D76" s="278"/><c r="E76" s="278"/><c r="F76" s="278"/><c r="G76" s="278"/><c r="H76" s="278"/><c r="I76" s="278"/><c r="J76" s="278"/><c r="K76" s="278"/><c r="L76" s="278"/><c r="M76" s="278"/><c r="N76" s="278"/><c r="O76" s="278"/><c r="P76" s="278"/><c r="Q76" s="278"/><c r="R76" s="278"/><c r="S76" s="278"/><c r="T76" s="278"/><c r="U76" s="278"/><c r="V76" s="278"/><c r="W76" s="278"/><c r="X76" s="278"/><c r="Y76" s="279"/></row><row r="77" spans="2:31" s="51" customFormat="1" ht="15" customHeight="1" x14ac:dyDescent="0.25"><c r="B77" s="319"/><c r="C77" s="277" t="str"><f>Translation!A99</f><v>Combustíveis fósseis</v></c><c r="D77" s="278"/><c r="E77" s="278"/><c r="F77" s="278"/><c r="G77" s="278"/><c r="H77" s="278"/><c r="I77" s="279"/><c r="J77" s="277" t="str"><f>Translation!A108</f><v>Fontes energéticas renováveis</v></c><c r="K77" s="278"/><c r="L77" s="278"/><c r="M77" s="278"/><c r="N77" s="278"/><c r="O77" s="278"/><c r="P77" s="278"/><c r="Q77" s="278"/><c r="R77" s="279"/><c r="S77" s="296" t="str"><f>Translation!A124</f><v>Electricidade</v></c><c r="T77" s="297"/><c r="U77" s="297"/><c r="V77" s="298"/><c r="W77" s="70" t="str"><f>Translation!A125</f><v>Calor</v></c><c r="X77" s="70" t="str"><f>Translation!A126</f><v>Frio</v></c><c r="Y77" s="275" t="str"><f>Translation!A119</f><v>TOTAL</v></c></row><row r="78" spans="2:31" s="51" customFormat="1" ht="46.5" customHeight="1" x14ac:dyDescent="0.25"><c r="B78" s="320"/><c r="C78" s="106" t="str"><f>Translation!A100</f><v>Fuelóleo</v></c><c r="D78" s="106" t="str"><f>Translation!A101</f><v>Gasóleo</v></c><c r="E78" s="106" t="str"><f>Translation!A102</f><v>Gasolina</v></c><c r="F78" s="106" t="str"><f>Translation!A103</f><v>GPL</v></c><c r="G78" s="106" t="str"><f>Translation!A104</f><v>Gás natural</v></c><c r="H78" s="106" t="str"><f>Translation!A105</f><v>Carvão</v></c><c r="I78" s="106" t="str"><f>Translation!A117</f><v>Subtotal</v></c><c r="J78" s="106" t="str"><f>Translation!A109</f><v>Hídrica</v></c><c r="K78" s="106" t="str"><f>Translation!A110</f><v>Eólica</v></c><c r="L78" s="106" t="str"><f>Translation!A111</f><v>Solar</v></c><c r="M78" s="106" t="str"><f>Translation!A112</f><v>Geotérmica</v></c><c r="N78" s="106" t="str"><f>Translation!A113</f><v>Oceânica</v></c><c r="O78" s="106" t="str"><f>Translation!A114</f><v>Biomassa</v></c><c r="P78" s="106" t="str"><f>Translation!A115</f><v>Resíduos urbanos</v></c><c r="Q78" s="106" t="str"><f>Translation!A116</f><v>Recuperação de energia</v></c><c r="R78" s="106" t="str"><f>Translation!A117</f><v>Subtotal</v></c><c r="S78" s="54" t="str"><f>Translation!A145</f><v>Electricidade importada (cabo)</v></c><c r="T78" s="54" t="str"><f>Translation!A146</f><v>Electricidade exportada (cabo)</v></c><c r="U78" s="54" t="str"><f>Translation!A137</f><v>Reexportação e consumos externos</v></c><c r="V78" s="104" t="str"><f>Translation!A117</f><v>Subtotal</v></c><c r="W78" s="104" t="str"><f>Translation!A137</f><v>Reexportação e consumos externos</v></c><c r="X78" s="104" t="str"><f>Translation!A137</f><v>Reexportação e consumos externos</v></c><c r="Y78" s="276"/></row><row r="79" spans="2:31" s="51" customFormat="1" ht="15.75" x14ac:dyDescent="0.25"><c r="B79" s="107" t="str"><f>Translation!A119</f><v>TOTAL</v></c><c r="C79" s="186"><f t="shared" ref="C79:H79" si="21">G48+C72</f><v>319527.83436777734</v></c><c r="D79" s="186"><f t="shared" si="21"/><v>300528.12742483173</v></c><c r="E79" s="186"><f t="shared" si="21"/><v>100496.26633010566</v></c><c r="F79" s="186"><f t="shared" si="21"/><v>42733.599922762492</v></c><c r="G79" s="186"><f t="shared" si="21"/><v>0</v></c><c r="H79" s="186"><f t="shared" si="21"/><v>0</v></c><c r="I79" s="53"><f>SUM(C79:H79)</f><v>763285.82804547716</v></c><c r="J79" s="186"><f t="shared" ref="J79:O79" si="22">N48+J72</f><v>1770</v></c><c r="K79" s="186"><f t="shared" si="22"/><v>45552</v></c><c r="L79" s="186"><f t="shared" si="22"/><v>15373.862115475784</v></c><c r="M79" s="186"><f t="shared" si="22"/><v>47304</v></c><c r="N79" s="186"><f t="shared" si="22"/><v>0</v></c><c r="O79" s="186"><f t="shared" si="22"/><v>0</v></c><c r="P79" s="186"><f>P72</f><v>0</v></c><c r="Q79" s="186"><f>Q72</f><v>0</v></c><c r="R79" s="53"><f>SUM(J79:Q79)</f><v>109999.86211547579</v></c><c r="S79" s="186"><f>Y62</f><v>0</v></c><c r="T79" s="186"><f>Z62</f><v>0</v></c><c r="U79" s="186"><f>$C$49+$C$50+$C$51</f><v>0</v></c><c r="V79" s="53"><f>S79-T79-U79</f><v>0</v></c><c r="W79" s="186"><f>$D$49+$D$50+$D$51</f><v>0</v></c><c r="X79" s="186"><f>$E$49+$E$50+$E$51</f><v>0</v></c><c r="Y79" s="53"><f>I79+R79+V79-W79-X79</f><v>873285.69016095297</v></c></row><row r="80" spans="2:31" s="55" customFormat="1" ht="15" x14ac:dyDescent="0.25"><c r="B80" s="74"/></row><row r="81" spans="1:32" s="55" customFormat="1" ht="15" x14ac:dyDescent="0.25"><c r="B81" s="74"/></row><row r="82" spans="1:32" s="85" customFormat="1" ht="31.5" x14ac:dyDescent="0.5"><c r="B82" s="86" t="str"><f>Translation!A129</f><v>EFICIÊNCIA DA CONVERSÃO DE ENERGIA</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75" t="str"><f>Translation!A121</f><v>SECTOR DE PRODUÇÃO</v></c><c r="C83" s="303" t="str"><f>Translation!A143</f><v>FONTE DE ENERGIA PRIMÁRIA</v></c><c r="D83" s="304"/><c r="E83" s="304"/><c r="F83" s="304"/><c r="G83" s="304"/><c r="H83" s="304"/><c r="I83" s="304"/><c r="J83" s="304"/><c r="K83" s="304"/><c r="L83" s="304"/><c r="M83" s="304"/><c r="N83" s="304"/><c r="O83" s="304"/><c r="P83" s="304"/><c r="Q83" s="304"/><c r="R83" s="304"/><c r="S83" s="305"/><c r="T83" s="68"/><c r="V83" s="57"/><c r="W83" s="57"/><c r="X83" s="68"/><c r="Y83" s="57"/><c r="Z83" s="57"/><c r="AA83" s="57"/><c r="AB83" s="57"/><c r="AC83" s="57"/><c r="AD83" s="57"/><c r="AE83" s="57"/><c r="AF83" s="57"/></row><row r="84" spans="1:32" s="51" customFormat="1" ht="15" customHeight="1" x14ac:dyDescent="0.25"><c r="B84" s="276"/><c r="C84" s="303" t="str"><f>Translation!A99</f><v>Combustíveis fósseis</v></c><c r="D84" s="304"/><c r="E84" s="304"/><c r="F84" s="304"/><c r="G84" s="304"/><c r="H84" s="304"/><c r="I84" s="305"/><c r="J84" s="303" t="str"><f>Translation!A108</f><v>Fontes energéticas renováveis</v></c><c r="K84" s="304"/><c r="L84" s="304"/><c r="M84" s="304"/><c r="N84" s="304"/><c r="O84" s="304"/><c r="P84" s="304"/><c r="Q84" s="304"/><c r="R84" s="305"/><c r="S84" s="302" t="str"><f>Translation!A119</f><v>TOTAL</v></c><c r="T84" s="68"/><c r="V84" s="57"/><c r="W84" s="57"/><c r="X84" s="68"/><c r="Y84" s="57"/><c r="Z84" s="57"/><c r="AA84" s="57"/><c r="AB84" s="57"/><c r="AC84" s="57"/><c r="AD84" s="57"/><c r="AE84" s="57"/><c r="AF84" s="57"/></row><row r="85" spans="1:32" s="51" customFormat="1" ht="69.75" customHeight="1" x14ac:dyDescent="0.25"><c r="B85" s="69" t="str"><f>Translation!A123</f><v>Produto energético</v></c><c r="C85" s="109" t="str"><f>Translation!A100</f><v>Fuelóleo</v></c><c r="D85" s="109" t="str"><f>Translation!A101</f><v>Gasóleo</v></c><c r="E85" s="109" t="str"><f>Translation!A102</f><v>Gasolina</v></c><c r="F85" s="109" t="str"><f>Translation!A103</f><v>GPL</v></c><c r="G85" s="109" t="str"><f>Translation!A104</f><v>Gás natural</v></c><c r="H85" s="109" t="str"><f>Translation!A105</f><v>Carvão</v></c><c r="I85" s="109" t="str"><f>Translation!A117</f><v>Subtotal</v></c><c r="J85" s="109" t="str"><f>Translation!A109</f><v>Hídrica</v></c><c r="K85" s="109" t="str"><f>Translation!A110</f><v>Eólica</v></c><c r="L85" s="109" t="str"><f>Translation!A111</f><v>Solar</v></c><c r="M85" s="109" t="str"><f>Translation!A112</f><v>Geotérmica</v></c><c r="N85" s="109" t="str"><f>Translation!A113</f><v>Oceânica</v></c><c r="O85" s="109" t="str"><f>Translation!A114</f><v>Biomassa</v></c><c r="P85" s="109" t="str"><f>Translation!A115</f><v>Resíduos urbanos</v></c><c r="Q85" s="109" t="str"><f>Translation!A116</f><v>Recuperação de energia</v></c><c r="R85" s="109" t="str"><f>Translation!A117</f><v>Subtotal</v></c><c r="S85" s="302"/><c r="T85" s="68"/><c r="V85" s="57"/><c r="W85" s="57"/><c r="X85" s="68"/><c r="Y85" s="57"/><c r="Z85" s="57"/><c r="AA85" s="57"/><c r="AB85" s="57"/><c r="AC85" s="57"/><c r="AD85" s="57"/><c r="AE85" s="57"/><c r="AF85" s="57"/></row><row r="86" spans="1:32" s="51" customFormat="1" ht="15.75" x14ac:dyDescent="0.25"><c r="B86" s="184" t="str"><f>Translation!A124</f><v>Electricidade</v></c><c r="C86" s="188"><f t="shared" ref="C86:P86" si="23">IF(C69&gt;0,C59/C69,"-")</f><v>0.42750000000000005</v></c><c r="D86" s="188"><f t="shared" si="23"/><v>0.42750000000000005</v></c><c r="E86" s="188" t="str"><f t="shared" si="23"/><v>-</v></c><c r="F86" s="188" t="str"><f t="shared" si="23"/><v>-</v></c><c r="G86" s="188" t="str"><f t="shared" si="23"/><v>-</v></c><c r="H86" s="188" t="str"><f t="shared" si="23"/><v>-</v></c><c r="I86" s="67"><f t="shared" si="23"/><v>0.42750000000000005</v></c><c r="J86" s="188"><f t="shared" si="23"/><v>1</v></c><c r="K86" s="188"><f t="shared" si="23"/><v>1</v></c><c r="L86" s="188"><f t="shared" si="23"/><v>1</v></c><c r="M86" s="188"><f t="shared" si="23"/><v>1</v></c><c r="N86" s="188" t="str"><f t="shared" si="23"/><v>-</v></c><c r="O86" s="188" t="str"><f t="shared" si="23"/><v>-</v></c><c r="P86" s="188" t="str"><f t="shared" si="23"/><v>-</v></c><c r="Q86" s="188" t="s"><v>522</v></c><c r="R86" s="67"><f t="shared" ref="R86:S88" si="24">IF(R69&gt;0,R59/R69,"-")</f><v>1.1610442136225756</v></c><c r="S86" s="67"><f t="shared" si="24"/><v>0.62353758232707646</v></c><c r="T86" s="58"/><c r="V86" s="57"/><c r="W86" s="57"/><c r="X86" s="58"/><c r="Y86" s="57"/><c r="Z86" s="57"/><c r="AA86" s="57"/><c r="AB86" s="57"/><c r="AC86" s="57"/><c r="AD86" s="57"/><c r="AE86" s="57"/><c r="AF86" s="57"/></row><row r="87" spans="1:32" s="51" customFormat="1" ht="15.75" x14ac:dyDescent="0.25"><c r="B87" s="184" t="str"><f>Translation!A125</f><v>Calor</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Frio</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RESULTADOS DO INVENTÁRIO DE EMISSÕES</v></c><c r="C90" s="124"/><c r="D90" s="125"/><c r="E90" s="124"/><c r="F90" s="125"/><c r="G90" s="124"/><c r="H90" s="125"/><c r="I90" s="124"/><c r="J90" s="125"/><c r="K90" s="142"/><c r="L90" s="142"/><c r="M90" s="142"/><c r="N90" s="142"/></row><row r="91" spans="1:32" s="85" customFormat="1" ht="31.5" x14ac:dyDescent="0.5"><c r="B91" s="86" t="str"><f>Translation!A149</f><v>EMISSÕES DE CO2 DA UTILIZAÇÃO FINAL</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06" t="str"><f>Translation!A56</f><v>SECTOR DE PROCURA</v></c><c r="C92" s="280" t="str"><f>Translation!A94</f><v>ENERGIA PARA CONSUMO FINAL</v></c><c r="D92" s="281"/><c r="E92" s="281"/><c r="F92" s="281"/><c r="G92" s="281"/><c r="H92" s="281"/><c r="I92" s="281"/><c r="J92" s="281"/><c r="K92" s="281"/><c r="L92" s="281"/><c r="M92" s="281"/><c r="N92" s="281"/><c r="O92" s="281"/><c r="P92" s="281"/><c r="Q92" s="281"/><c r="R92" s="281"/><c r="S92" s="281"/><c r="T92" s="281"/><c r="U92" s="282"/></row><row r="93" spans="1:32" s="51" customFormat="1" ht="18" customHeight="1" x14ac:dyDescent="0.25"><c r="B93" s="307"/><c r="C93" s="280" t="str"><f>Translation!A95</f><v>Serviços energéticos centralizados</v></c><c r="D93" s="281"/><c r="E93" s="281"/><c r="F93" s="282"/><c r="G93" s="280" t="str"><f>Translation!A99</f><v>Combustíveis fósseis</v></c><c r="H93" s="281"/><c r="I93" s="281"/><c r="J93" s="281"/><c r="K93" s="281"/><c r="L93" s="281"/><c r="M93" s="282"/><c r="N93" s="280" t="str"><f>Translation!A106</f><v>Fontes energéticas renováveis (excluindo electricidade e calor para venda a redes públicas)</v></c><c r="O93" s="281"/><c r="P93" s="281"/><c r="Q93" s="281"/><c r="R93" s="281"/><c r="S93" s="281"/><c r="T93" s="282"/><c r="U93" s="289" t="str"><f>Translation!A119</f><v>TOTAL</v></c></row><row r="94" spans="1:32" s="51" customFormat="1" ht="67.5" customHeight="1" x14ac:dyDescent="0.25"><c r="B94" s="61" t="str"><f>Translation!A58</f><v>Descrição do sector</v></c><c r="C94" s="105" t="str"><f>Translation!A96</f><v>Electricidade da rede pública</v></c><c r="D94" s="105" t="str"><f>Translation!A97</f><v>Calor de rede de pública</v></c><c r="E94" s="105" t="str"><f>Translation!A98</f><v>Frio de rede pública</v></c><c r="F94" s="105" t="str"><f>Translation!A117</f><v>Subtotal</v></c><c r="G94" s="105" t="str"><f>Translation!A100</f><v>Fuelóleo</v></c><c r="H94" s="105" t="str"><f>Translation!A101</f><v>Gasóleo</v></c><c r="I94" s="105" t="str"><f>Translation!A102</f><v>Gasolina</v></c><c r="J94" s="105" t="str"><f>Translation!A103</f><v>GPL</v></c><c r="K94" s="105" t="str"><f>Translation!A104</f><v>Gás natural</v></c><c r="L94" s="105" t="str"><f>Translation!A105</f><v>Carvão</v></c><c r="M94" s="105" t="str"><f>Translation!A117</f><v>Subtotal</v></c><c r="N94" s="105" t="str"><f>Translation!A109</f><v>Hídrica</v></c><c r="O94" s="105" t="str"><f>Translation!A110</f><v>Eólica</v></c><c r="P94" s="105" t="str"><f>Translation!A111</f><v>Solar</v></c><c r="Q94" s="105" t="str"><f>Translation!A112</f><v>Geotérmica</v></c><c r="R94" s="105" t="str"><f>Translation!A113</f><v>Oceânica</v></c><c r="S94" s="105" t="str"><f>Translation!A114</f><v>Biomassa</v></c><c r="T94" s="105" t="str"><f>Translation!A117</f><v>Subtotal</v></c><c r="U94" s="291"/></row><row r="95" spans="1:32" s="21" customFormat="1" ht="15.75" x14ac:dyDescent="0.25"><c r="A95" s="22"/><c r="B95" s="66" t="str"><f>Translation!A60</f><v>RESIDENCIAL</v></c><c r="C95" s="64"><f>SUM(C96:C104)</f><v>21033.545902720329</v></c><c r="D95" s="64"><f>SUM(D96:D104)</f><v>0</v></c><c r="E95" s="64"><f>SUM(E96:E104)</f><v>0</v></c><c r="F95" s="64"><f t="shared" ref="F95:F126" si="27">SUM(C95:E95)</f><v>21033.545902720329</v></c><c r="G95" s="64"><f t="shared" ref="G95:L95" si="28">SUM(G96:G104)</f><v>0</v></c><c r="H95" s="64"><f t="shared" si="28"/><v>0</v></c><c r="I95" s="64"><f t="shared" si="28"/><v>0</v></c><c r="J95" s="64"><f t="shared" si="28"/><v>10256.063981462998</v></c><c r="K95" s="64"><f t="shared" si="28"/><v>0</v></c><c r="L95" s="64"><f t="shared" si="28"/><v>0</v></c><c r="M95" s="64"><f t="shared" ref="M95:M126" si="29">SUM(G95:L95)</f><v>10256.063981462998</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31289.609884183326</v></c></row><row r="96" spans="1:32" s="21" customFormat="1" ht="15.75" x14ac:dyDescent="0.25"><c r="A96" s="22"/><c r="B96" s="182" t="str"><f>Translation!A61</f><v>Água quente</v></c><c r="C96" s="185"><f t="shared" ref="C96:C104" si="33">IF(AND(C$48&gt;0,($S$133+$V$143)&gt;0), ($S$133+$V$143)/C$48,0)*C18</f><v>22043.663391176651</v></c><c r="D96" s="185"><f t="shared" ref="D96:D104" si="34">IF(AND(D$48&gt;0,$S$134&gt;0), ($S$134)/D$48,0)*D18</f><v>0</v></c><c r="E96" s="185"><f t="shared" ref="E96:E104" si="35">IF(AND(E$48&gt;0,$S$135&gt;0), ($S$135)/E$48,0)*E18</f><v>0</v></c><c r="F96" s="64"><f t="shared" si="27"/><v>22043.663391176651</v></c><c r="G96" s="185"><f>'CO2 factors'!C$7*G18</f><v>0</v></c><c r="H96" s="185"><f>'CO2 factors'!D$7*H18</f><v>0</v></c><c r="I96" s="185"><f>'CO2 factors'!E$7*I18</f><v>0</v></c><c r="J96" s="185"><f>'CO2 factors'!F$7*J18</f><v>10256.063981462998</v></c><c r="K96" s="185"><f>'CO2 factors'!G$7*K18</f><v>0</v></c><c r="L96" s="185"><f>'CO2 factors'!H$7*L18</f><v>0</v></c><c r="M96" s="64"><f t="shared" si="29"/><v>10256.063981462998</v></c><c r="N96" s="185"><f>'CO2 factors'!J$7*N18</f><v>0</v></c><c r="O96" s="185"><f>'CO2 factors'!K$7*O18</f><v>0</v></c><c r="P96" s="185"><f>'CO2 factors'!L$7*P18</f><v>0</v></c><c r="Q96" s="185"><f>'CO2 factors'!M$7*Q18</f><v>0</v></c><c r="R96" s="185"><f>'CO2 factors'!N$7*R18</f><v>0</v></c><c r="S96" s="185"><f>'CO2 factors'!O$7*S18</f><v>0</v></c><c r="T96" s="64"><f t="shared" si="31"/><v>0</v></c><c r="U96" s="64"><f t="shared" si="32"/><v>32299.727372639649</v></c></row><row r="97" spans="1:21" s="21" customFormat="1" ht="15.75" x14ac:dyDescent="0.25"><c r="A97" s="22"/><c r="B97" s="182" t="str"><f>Translation!A62</f><v>Aquecimento e arrefecimento</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Iluminação</v></c><c r="C98" s="185"><f t="shared" si="33"/><v>-505.05874422816254</v></c><c r="D98" s="185"><f t="shared" si="34"/><v>0</v></c><c r="E98" s="185"><f t="shared" si="35"/><v>0</v></c><c r="F98" s="64"><f t="shared" si="27"/><v>-505.05874422816254</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-505.05874422816254</v></c></row><row r="99" spans="1:21" s="21" customFormat="1" ht="15.75" x14ac:dyDescent="0.25"><c r="A99" s="22"/><c r="B99" s="182" t="str"><f>Translation!A64</f><v>Cozinha</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Frigoríficos e congeladores</v></c><c r="C100" s="185"><f t="shared" si="33"/><v>-505.05874422816254</v></c><c r="D100" s="185"><f t="shared" si="34"/><v>0</v></c><c r="E100" s="185"><f t="shared" si="35"/><v>0</v></c><c r="F100" s="64"><f t="shared" si="27"/><v>-505.05874422816254</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-505.05874422816254</v></c></row><row r="101" spans="1:21" s="21" customFormat="1" ht="15.75" x14ac:dyDescent="0.25"><c r="A101" s="22"/><c r="B101" s="182" t="str"><f>Translation!A66</f><v>Máquinas de lavar e secar roupa</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Máquinas de lavar louça</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Televisores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Outros aparelhos eléctricos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SECTOR PRIMÁRIO</v></c><c r="C105" s="64"><f>SUM(C106:C107)</f><v>1002.4805824926488</v></c><c r="D105" s="64"><f>SUM(D106:D107)</f><v>0</v></c><c r="E105" s="64"><f>SUM(E106:E107)</f><v>0</v></c><c r="F105" s="64"><f t="shared" si="27"/><v>1002.4805824926488</v></c><c r="G105" s="64"><f t="shared" ref="G105:L105" si="36">SUM(G106:G107)</f><v>0</v></c><c r="H105" s="64"><f t="shared" si="36"/><v>18161.540781781692</v></c><c r="I105" s="64"><f t="shared" si="36"/><v>0</v></c><c r="J105" s="64"><f t="shared" si="36"/><v>0</v></c><c r="K105" s="64"><f t="shared" si="36"/><v>0</v></c><c r="L105" s="64"><f t="shared" si="36"/><v>0</v></c><c r="M105" s="64"><f t="shared" si="29"/><v>18161.540781781692</v></c><c r="N105" s="64"><f t="shared" ref="N105:S105" si="37">SUM(N106:N107)</f><v>0</v></c><c r="O105" s="64"><f t="shared" si="37"/><v>0</v></c><c r="P105" s="64"><f t="shared" si="37"/><v>0</v></c><c r="Q105" s="64"><f t="shared" si="37"/><v>0</v></c><c r="R105" s="64"><f t="shared" si="37"/><v>0</v></c><c r="S105" s="64"><f t="shared" si="37"/><v>0</v></c><c r="T105" s="64"><f t="shared" si="31"/><v>0</v></c><c r="U105" s="64"><f t="shared" si="32"/><v>19164.02136427434</v></c></row><row r="106" spans="1:21" s="21" customFormat="1" ht="15.75" x14ac:dyDescent="0.25"><c r="A106" s="22"/><c r="B106" s="183" t="str"><f>Translation!A71</f><v>Agricultura, produção animal, caça, floresta e pesca</v></c><c r="C106" s="185"><f>IF(AND(C$48&gt;0,($S$133+$V$143)&gt;0), ($S$133+$V$143)/C$48,0)*C28</f><v>941.41622190643648</v></c><c r="D106" s="185"><f>IF(AND(D$48&gt;0,$S$134&gt;0), ($S$134)/D$48,0)*D28</f><v>0</v></c><c r="E106" s="185"><f>IF(AND(E$48&gt;0,$S$135&gt;0), ($S$135)/E$48,0)*E28</f><v>0</v></c><c r="F106" s="64"><f t="shared" si="27"/><v>941.41622190643648</v></c><c r="G106" s="185"><f>'CO2 factors'!C$7*G28</f><v>0</v></c><c r="H106" s="185"><f>'CO2 factors'!D$7*H28</f><v>18161.540781781692</v></c><c r="I106" s="185"><f>'CO2 factors'!E$7*I28</f><v>0</v></c><c r="J106" s="185"><f>'CO2 factors'!F$7*J28</f><v>0</v></c><c r="K106" s="185"><f>'CO2 factors'!G$7*K28</f><v>0</v></c><c r="L106" s="185"><f>'CO2 factors'!H$7*L28</f><v>0</v></c><c r="M106" s="64"><f t="shared" si="29"/><v>18161.540781781692</v></c><c r="N106" s="185"><f>'CO2 factors'!J$7*N28</f><v>0</v></c><c r="O106" s="185"><f>'CO2 factors'!K$7*O28</f><v>0</v></c><c r="P106" s="185"><f>'CO2 factors'!L$7*P28</f><v>0</v></c><c r="Q106" s="185"><f>'CO2 factors'!M$7*Q28</f><v>0</v></c><c r="R106" s="185"><f>'CO2 factors'!N$7*R28</f><v>0</v></c><c r="S106" s="185"><f>'CO2 factors'!O$7*S28</f><v>0</v></c><c r="T106" s="64"><f t="shared" si="31"/><v>0</v></c><c r="U106" s="64"><f t="shared" si="32"/><v>19102.957003688127</v></c></row><row r="107" spans="1:21" s="21" customFormat="1" ht="15.75" x14ac:dyDescent="0.25"><c r="A107" s="22"/><c r="B107" s="183" t="str"><f>Translation!A72</f><v>Indústrias extractivas</v></c><c r="C107" s="185"><f>IF(AND(C$48&gt;0,($S$133+$V$143)&gt;0), ($S$133+$V$143)/C$48,0)*C29</f><v>61.064360586212231</v></c><c r="D107" s="185"><f>IF(AND(D$48&gt;0,$S$134&gt;0), ($S$134)/D$48,0)*D29</f><v>0</v></c><c r="E107" s="185"><f>IF(AND(E$48&gt;0,$S$135&gt;0), ($S$135)/E$48,0)*E29</f><v>0</v></c><c r="F107" s="64"><f t="shared" si="27"/><v>61.064360586212231</v></c><c r="G107" s="185"><f>'CO2 factors'!C$7*G29</f><v>0</v></c><c r="H107" s="185"><f>'CO2 factors'!D$7*H29</f><v>0</v></c><c r="I107" s="185"><f>'CO2 factors'!E$7*I29</f><v>0</v></c><c r="J107" s="185"><f>'CO2 factors'!F$7*J29</f><v>0</v></c><c r="K107" s="185"><f>'CO2 factors'!G$7*K29</f><v>0</v></c><c r="L107" s="185"><f>'CO2 factors'!H$7*L29</f><v>0</v></c><c r="M107" s="64"><f t="shared" si="29"/><v>0</v></c><c r="N107" s="185"><f>'CO2 factors'!J$7*N29</f><v>0</v></c><c r="O107" s="185"><f>'CO2 factors'!K$7*O29</f><v>0</v></c><c r="P107" s="185"><f>'CO2 factors'!L$7*P29</f><v>0</v></c><c r="Q107" s="185"><f>'CO2 factors'!M$7*Q29</f><v>0</v></c><c r="R107" s="185"><f>'CO2 factors'!N$7*R29</f><v>0</v></c><c r="S107" s="185"><f>'CO2 factors'!O$7*S29</f><v>0</v></c><c r="T107" s="64"><f t="shared" si="31"/><v>0</v></c><c r="U107" s="64"><f t="shared" si="32"/><v>61.064360586212231</v></c></row><row r="108" spans="1:21" s="21" customFormat="1" ht="15.75" x14ac:dyDescent="0.25"><c r="A108" s="22"/><c r="B108" s="61" t="str"><f>Translation!A73</f><v>SECTOR SECUNDÁRIO</v></c><c r="C108" s="64"><f>SUM(C109:C111)</f><v>9229.9302534396193</v></c><c r="D108" s="64"><f>SUM(D109:D111)</f><v>0</v></c><c r="E108" s="64"><f>SUM(E109:E111)</f><v>0</v></c><c r="F108" s="64"><f t="shared" si="27"/><v>9229.9302534396193</v></c><c r="G108" s="64"><f t="shared" ref="G108:L108" si="38">SUM(G109:G111)</f><v>16851.047490833353</v></c><c r="H108" s="64"><f t="shared" si="38"/><v>0</v></c><c r="I108" s="64"><f t="shared" si="38"/><v>0</v></c><c r="J108" s="64"><f t="shared" si="38"/><v>0</v></c><c r="K108" s="64"><f t="shared" si="38"/><v>0</v></c><c r="L108" s="64"><f t="shared" si="38"/><v>0</v></c><c r="M108" s="64"><f t="shared" si="29"/><v>16851.047490833353</v></c><c r="N108" s="64"><f t="shared" ref="N108:S108" si="39">SUM(N109:N111)</f><v>0</v></c><c r="O108" s="64"><f t="shared" si="39"/><v>0</v></c><c r="P108" s="64"><f t="shared" si="39"/><v>0</v></c><c r="Q108" s="64"><f t="shared" si="39"/><v>0</v></c><c r="R108" s="64"><f t="shared" si="39"/><v>0</v></c><c r="S108" s="64"><f t="shared" si="39"/><v>0</v></c><c r="T108" s="64"><f t="shared" si="31"/><v>0</v></c><c r="U108" s="64"><f t="shared" si="32"/><v>26080.977744272972</v></c></row><row r="109" spans="1:21" s="21" customFormat="1" ht="15.75" x14ac:dyDescent="0.25"><c r="A109" s="22"/><c r="B109" s="183" t="str"><f>Translation!A74</f><v>Indústrias transformadoras</v></c><c r="C109" s="185"><f>IF(AND(C$48&gt;0,($S$133+$V$143)&gt;0), ($S$133+$V$143)/C$48,0)*C31</f><v>7752.1920072291032</v></c><c r="D109" s="185"><f>IF(AND(D$48&gt;0,$S$134&gt;0), ($S$134)/D$48,0)*D31</f><v>0</v></c><c r="E109" s="185"><f>IF(AND(E$48&gt;0,$S$135&gt;0), ($S$135)/E$48,0)*E31</f><v>0</v></c><c r="F109" s="64"><f t="shared" si="27"/><v>7752.1920072291032</v></c><c r="G109" s="185"><f>'CO2 factors'!C$7*G31</f><v>16851.047490833353</v></c><c r="H109" s="185"><f>'CO2 factors'!D$7*H31</f><v>0</v></c><c r="I109" s="185"><f>'CO2 factors'!E$7*I31</f><v>0</v></c><c r="J109" s="185"><f>'CO2 factors'!F$7*J31</f><v>0</v></c><c r="K109" s="185"><f>'CO2 factors'!G$7*K31</f><v>0</v></c><c r="L109" s="185"><f>'CO2 factors'!H$7*L31</f><v>0</v></c><c r="M109" s="64"><f t="shared" si="29"/><v>16851.047490833353</v></c><c r="N109" s="185"><f>'CO2 factors'!J$7*N31</f><v>0</v></c><c r="O109" s="185"><f>'CO2 factors'!K$7*O31</f><v>0</v></c><c r="P109" s="185"><f>'CO2 factors'!L$7*P31</f><v>0</v></c><c r="Q109" s="185"><f>'CO2 factors'!M$7*Q31</f><v>0</v></c><c r="R109" s="185"><f>'CO2 factors'!N$7*R31</f><v>0</v></c><c r="S109" s="185"><f>'CO2 factors'!O$7*S31</f><v>0</v></c><c r="T109" s="64"><f t="shared" si="31"/><v>0</v></c><c r="U109" s="64"><f t="shared" si="32"/><v>24603.239498062456</v></c></row><row r="110" spans="1:21" s="21" customFormat="1" ht="45" x14ac:dyDescent="0.25"><c r="A110" s="22"/><c r="B110" s="183" t="str"><f>Translation!A75</f><v>Captação, tratamento e distribuição de água; saneamento, gestão de resíduos
e despoluição</v></c><c r="C110" s="185"><f>IF(AND(C$48&gt;0,($S$133+$V$143)&gt;0), ($S$133+$V$143)/C$48,0)*C32</f><v>642.82608333219412</v></c><c r="D110" s="185"><f>IF(AND(D$48&gt;0,$S$134&gt;0), ($S$134)/D$48,0)*D32</f><v>0</v></c><c r="E110" s="185"><f>IF(AND(E$48&gt;0,$S$135&gt;0), ($S$135)/E$48,0)*E32</f><v>0</v></c><c r="F110" s="64"><f t="shared" si="27"/><v>642.82608333219412</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642.82608333219412</v></c></row><row r="111" spans="1:21" s="21" customFormat="1" ht="15.75" x14ac:dyDescent="0.25"><c r="A111" s="22"/><c r="B111" s="183" t="str"><f>Translation!A76</f><v>Construção</v></c><c r="C111" s="185"><f>IF(AND(C$48&gt;0,($S$133+$V$143)&gt;0), ($S$133+$V$143)/C$48,0)*C33</f><v>834.91216287832049</v></c><c r="D111" s="185"><f>IF(AND(D$48&gt;0,$S$134&gt;0), ($S$134)/D$48,0)*D33</f><v>0</v></c><c r="E111" s="185"><f>IF(AND(E$48&gt;0,$S$135&gt;0), ($S$135)/E$48,0)*E33</f><v>0</v></c><c r="F111" s="64"><f t="shared" si="27"/><v>834.91216287832049</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834.91216287832049</v></c></row><row r="112" spans="1:21" s="21" customFormat="1" ht="15.75" x14ac:dyDescent="0.25"><c r="A112" s="22"/><c r="B112" s="61" t="str"><f>Translation!A77</f><v>SECTOR TERCIÁRIO</v></c><c r="C112" s="64"><f>SUM(C113:C120)</f><v>41913.82199069389</v></c><c r="D112" s="64"><f>SUM(D113:D120)</f><v>0</v></c><c r="E112" s="64"><f>SUM(E113:E120)</f><v>0</v></c><c r="F112" s="64"><f t="shared" si="27"/><v>41913.82199069389</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41913.82199069389</v></c></row><row r="113" spans="1:23" s="21" customFormat="1" ht="30" x14ac:dyDescent="0.25"><c r="A113" s="22"/><c r="B113" s="183" t="str"><f>Translation!A78</f><v>Comércio por grosso e a retalho; reparação de veículos automóveis e motociclos</v></c><c r="C113" s="185"><f t="shared" ref="C113:C120" si="42">IF(AND(C$48&gt;0,($S$133+$V$143)&gt;0), ($S$133+$V$143)/C$48,0)*C35</f><v>9673.2639396084578</v></c><c r="D113" s="185"><f t="shared" ref="D113:D120" si="43">IF(AND(D$48&gt;0,$S$134&gt;0), ($S$134)/D$48,0)*D35</f><v>0</v></c><c r="E113" s="185"><f t="shared" ref="E113:E120" si="44">IF(AND(E$48&gt;0,$S$135&gt;0), ($S$135)/E$48,0)*E35</f><v>0</v></c><c r="F113" s="64"><f t="shared" si="27"/><v>9673.2639396084578</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9673.2639396084578</v></c></row><row r="114" spans="1:23" s="21" customFormat="1" ht="15.75" x14ac:dyDescent="0.25"><c r="A114" s="22"/><c r="B114" s="183" t="str"><f>Translation!A79</f><v>Alojamento, restauração e similares</v></c><c r="C114" s="185"><f t="shared" si="42"/><v>4091.5024397957154</v></c><c r="D114" s="185"><f t="shared" si="43"/><v>0</v></c><c r="E114" s="185"><f t="shared" si="44"/><v>0</v></c><c r="F114" s="64"><f t="shared" si="27"/><v>4091.5024397957154</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4091.5024397957154</v></c></row><row r="115" spans="1:23" s="21" customFormat="1" ht="15.75" x14ac:dyDescent="0.25"><c r="A115" s="22"/><c r="B115" s="183" t="str"><f>Translation!A80</f><v>Administração pública e segurança social</v></c><c r="C115" s="185"><f t="shared" si="42"/><v>4260.5517807010219</v></c><c r="D115" s="185"><f t="shared" si="43"/><v>0</v></c><c r="E115" s="185"><f t="shared" si="44"/><v>0</v></c><c r="F115" s="64"><f t="shared" si="27"/><v>4260.5517807010219</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4260.5517807010219</v></c></row><row r="116" spans="1:23" s="21" customFormat="1" ht="15.75" x14ac:dyDescent="0.25"><c r="A116" s="22"/><c r="B116" s="183" t="str"><f>Translation!A81</f><v>Defesa, justiça, polícia e bombeiros</v></c><c r="C116" s="185"><f t="shared" si="42"/><v>1600.2998620681817</v></c><c r="D116" s="185"><f t="shared" si="43"/><v>0</v></c><c r="E116" s="185"><f t="shared" si="44"/><v>0</v></c><c r="F116" s="64"><f t="shared" si="27"/><v>1600.2998620681817</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1600.2998620681817</v></c></row><row r="117" spans="1:23" s="21" customFormat="1" ht="15.75" x14ac:dyDescent="0.25"><c r="A117" s="22"/><c r="B117" s="183" t="str"><f>Translation!A82</f><v>Educação</v></c><c r="C117" s="185"><f t="shared" si="42"/><v>1054.821664978432</v></c><c r="D117" s="185"><f t="shared" si="43"/><v>0</v></c><c r="E117" s="185"><f t="shared" si="44"/><v>0</v></c><c r="F117" s="64"><f t="shared" si="27"/><v>1054.821664978432</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1054.821664978432</v></c></row><row r="118" spans="1:23" s="21" customFormat="1" ht="15.75" x14ac:dyDescent="0.25"><c r="A118" s="22"/><c r="B118" s="183" t="str"><f>Translation!A83</f><v>Actividades de saúde humana e apoio social</v></c><c r="C118" s="185"><f t="shared" si="42"/><v>2163.9646395885943</v></c><c r="D118" s="185"><f t="shared" si="43"/><v>0</v></c><c r="E118" s="185"><f t="shared" si="44"/><v>0</v></c><c r="F118" s="64"><f t="shared" si="27"/><v>2163.9646395885943</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2163.9646395885943</v></c></row><row r="119" spans="1:23" s="21" customFormat="1" ht="15.75" x14ac:dyDescent="0.25"><c r="A119" s="22"/><c r="B119" s="183" t="str"><f>Translation!A84</f><v>Outros serviços</v></c><c r="C119" s="185"><f t="shared" si="42"/><v>17327.705393123881</v></c><c r="D119" s="185"><f t="shared" si="43"/><v>0</v></c><c r="E119" s="185"><f t="shared" si="44"/><v>0</v></c><c r="F119" s="64"><f t="shared" si="27"/><v>17327.705393123881</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17327.705393123881</v></c></row><row r="120" spans="1:23" s="21" customFormat="1" ht="15.75" x14ac:dyDescent="0.25"><c r="A120" s="22"/><c r="B120" s="183" t="str"><f>Translation!A85</f><v>Iluminação pública</v></c><c r="C120" s="185"><f t="shared" si="42"/><v>1741.7122708296065</v></c><c r="D120" s="185"><f t="shared" si="43"/><v>0</v></c><c r="E120" s="185"><f t="shared" si="44"/><v>0</v></c><c r="F120" s="64"><f t="shared" si="27"/><v>1741.7122708296065</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1741.7122708296065</v></c></row><row r="121" spans="1:23" s="21" customFormat="1" ht="15.75" x14ac:dyDescent="0.25"><c r="A121" s="22"/><c r="B121" s="61" t="str"><f>Translation!A86</f><v>TRANSPORTES</v></c><c r="C121" s="64"><f>SUM(C122:C125)</f><v>1608.0030772019745</v></c><c r="D121" s="64"><f>SUM(D122:D125)</f><v>0</v></c><c r="E121" s="64"><f>SUM(E122:E125)</f><v>0</v></c><c r="F121" s="64"><f t="shared" si="27"/><v>1608.0030772019745</v></c><c r="G121" s="64"><f t="shared" ref="G121:L121" si="45">SUM(G122:G125)</f><v>0</v></c><c r="H121" s="64"><f t="shared" si="45"/><v>59588.905731876454</v></c><c r="I121" s="64"><f t="shared" si="45"/><v>25023.57031619631</v></c><c r="J121" s="64"><f t="shared" si="45"/><v>0</v></c><c r="K121" s="64"><f t="shared" si="45"/><v>0</v></c><c r="L121" s="64"><f t="shared" si="45"/><v>0</v></c><c r="M121" s="64"><f t="shared" si="29"/><v>84612.476048072771</v></c><c r="N121" s="64"><f t="shared" ref="N121:S121" si="46">SUM(N122:N125)</f><v>0</v></c><c r="O121" s="64"><f t="shared" si="46"/><v>0</v></c><c r="P121" s="64"><f t="shared" si="46"/><v>0</v></c><c r="Q121" s="64"><f t="shared" si="46"/><v>0</v></c><c r="R121" s="64"><f t="shared" si="46"/><v>0</v></c><c r="S121" s="64"><f t="shared" si="46"/><v>0</v></c><c r="T121" s="64"><f t="shared" si="31"/><v>0</v></c><c r="U121" s="64"><f t="shared" si="32"/><v>86220.479125274753</v></c></row><row r="122" spans="1:23" s="21" customFormat="1" ht="30" x14ac:dyDescent="0.25"><c r="A122" s="22"/><c r="B122" s="183" t="str"><f>Translation!A87</f><v>Transporte de passageiros por estrada (transportes públicos, táxis, turismo, transporte escolar, etc.)</v></c><c r="C122" s="185"><f>IF(AND(C$48&gt;0,($S$133+$V$143)&gt;0), ($S$133+$V$143)/C$48,0)*C44</f><v>1559.7481607657053</v></c><c r="D122" s="185"><f>IF(AND(D$48&gt;0,$S$134&gt;0), ($S$134)/D$48,0)*D44</f><v>0</v></c><c r="E122" s="185"><f>IF(AND(E$48&gt;0,$S$135&gt;0), ($S$135)/E$48,0)*E44</f><v>0</v></c><c r="F122" s="64"><f t="shared" si="27"/><v>1559.7481607657053</v></c><c r="G122" s="185"><f>'CO2 factors'!C$7*G44</f><v>0</v></c><c r="H122" s="185"><f>'CO2 factors'!D$7*H44</f><v>59588.905731876454</v></c><c r="I122" s="185"><f>'CO2 factors'!E$7*I44</f><v>25023.57031619631</v></c><c r="J122" s="185"><f>'CO2 factors'!F$7*J44</f><v>0</v></c><c r="K122" s="185"><f>'CO2 factors'!G$7*K44</f><v>0</v></c><c r="L122" s="185"><f>'CO2 factors'!H$7*L44</f><v>0</v></c><c r="M122" s="64"><f t="shared" si="29"/><v>84612.476048072771</v></c><c r="N122" s="185"><f>'CO2 factors'!J$7*N44</f><v>0</v></c><c r="O122" s="185"><f>'CO2 factors'!K$7*O44</f><v>0</v></c><c r="P122" s="185"><f>'CO2 factors'!L$7*P44</f><v>0</v></c><c r="Q122" s="185"><f>'CO2 factors'!M$7*Q44</f><v>0</v></c><c r="R122" s="185"><f>'CO2 factors'!N$7*R44</f><v>0</v></c><c r="S122" s="185"><f>'CO2 factors'!O$7*S44</f><v>0</v></c><c r="T122" s="64"><f t="shared" si="31"/><v>0</v></c><c r="U122" s="64"><f t="shared" si="32"/><v>86172.224208838481</v></c></row><row r="123" spans="1:23" s="21" customFormat="1" ht="30" x14ac:dyDescent="0.25"><c r="A123" s="22"/><c r="B123" s="183" t="str"><f>Translation!A88</f><v>Transporte de mercadorias por estrada e serviços de mudanças</v></c><c r="C123" s="185"><f>IF(AND(C$48&gt;0,($S$133+$V$143)&gt;0), ($S$133+$V$143)/C$48,0)*C45</f><v>0</v></c><c r="D123" s="185"><f>IF(AND(D$48&gt;0,$S$134&gt;0), ($S$134)/D$48,0)*D45</f><v>0</v></c><c r="E123" s="185"><f>IF(AND(E$48&gt;0,$S$135&gt;0), ($S$135)/E$48,0)*E45</f><v>0</v></c><c r="F123" s="64"><f t="shared" si="27"/><v>0</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0</v></c></row><row r="124" spans="1:23" s="21" customFormat="1" ht="15.75" x14ac:dyDescent="0.25"><c r="A124" s="22"/><c r="B124" s="183" t="str"><f>Translation!A89</f><v>Outras frotas de serviços públicos e privados</v></c><c r="C124" s="185"><f>IF(AND(C$48&gt;0,($S$133+$V$143)&gt;0), ($S$133+$V$143)/C$48,0)*C46</f><v>34.302713473728133</v></c><c r="D124" s="185"><f>IF(AND(D$48&gt;0,$S$134&gt;0), ($S$134)/D$48,0)*D46</f><v>0</v></c><c r="E124" s="185"><f>IF(AND(E$48&gt;0,$S$135&gt;0), ($S$135)/E$48,0)*E46</f><v>0</v></c><c r="F124" s="64"><f t="shared" si="27"/><v>34.302713473728133</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34.302713473728133</v></c></row><row r="125" spans="1:23" s="21" customFormat="1" ht="15.75" x14ac:dyDescent="0.25"><c r="A125" s="22"/><c r="B125" s="182" t="str"><f>Translation!A90</f><v>Transporte particular</v></c><c r="C125" s="185"><f>IF(AND(C$48&gt;0,($S$133+$V$143)&gt;0), ($S$133+$V$143)/C$48,0)*C47</f><v>13.952202962541195</v></c><c r="D125" s="185"><f>IF(AND(D$48&gt;0,$S$134&gt;0), ($S$134)/D$48,0)*D47</f><v>0</v></c><c r="E125" s="185"><f>IF(AND(E$48&gt;0,$S$135&gt;0), ($S$135)/E$48,0)*E47</f><v>0</v></c><c r="F125" s="64"><f t="shared" si="27"/><v>13.952202962541195</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13.952202962541195</v></c></row><row r="126" spans="1:23" s="21" customFormat="1" ht="15.75" x14ac:dyDescent="0.25"><c r="A126" s="22"/><c r="B126" s="73" t="str"><f>Translation!A118</f><v>TOTAL PARA MERCADO INTERNO</v></c><c r="C126" s="65"><f>C95+C105+C108+C112+C121</f><v>74787.781806548475</v></c><c r="D126" s="65"><f>D95+D105+D108+D112+D121</f><v>0</v></c><c r="E126" s="65"><f>E95+E105+E108+E112+E121</f><v>0</v></c><c r="F126" s="64"><f t="shared" si="27"/><v>74787.781806548475</v></c><c r="G126" s="65"><f t="shared" ref="G126:L126" si="47">G95+G105+G108+G112+G121</f><v>16851.047490833353</v></c><c r="H126" s="65"><f t="shared" si="47"/><v>77750.446513658142</v></c><c r="I126" s="65"><f t="shared" si="47"/><v>25023.57031619631</v></c><c r="J126" s="65"><f t="shared" si="47"/><v>10256.063981462998</v></c><c r="K126" s="65"><f t="shared" si="47"/><v>0</v></c><c r="L126" s="65"><f t="shared" si="47"/><v>0</v></c><c r="M126" s="64"><f t="shared" si="29"/><v>129881.12830215081</v></c><c r="N126" s="65"><f t="shared" ref="N126:S126" si="48">N95+N105+N108+N112+N121</f><v>0</v></c><c r="O126" s="65"><f t="shared" si="48"/><v>0</v></c><c r="P126" s="65"><f t="shared" si="48"/><v>0</v></c><c r="Q126" s="65"><f t="shared" si="48"/><v>0</v></c><c r="R126" s="65"><f t="shared" si="48"/><v>0</v></c><c r="S126" s="65"><f t="shared" si="48"/><v>0</v></c><c r="T126" s="64"><f t="shared" si="31"/><v>0</v></c><c r="U126" s="64"><f t="shared" si="32"/><v>204668.91010869929</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EMISSÕES DE CO2 DA PRODUÇÃO</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06" t="str"><f>Translation!A121</f><v>SECTOR DE PRODUÇÃO</v></c><c r="C130" s="280" t="str"><f>Translation!A143</f><v>FONTE DE ENERGIA PRIMÁRIA</v></c><c r="D130" s="281"/><c r="E130" s="281"/><c r="F130" s="281"/><c r="G130" s="281"/><c r="H130" s="281"/><c r="I130" s="281"/><c r="J130" s="281"/><c r="K130" s="281"/><c r="L130" s="281"/><c r="M130" s="281"/><c r="N130" s="281"/><c r="O130" s="281"/><c r="P130" s="281"/><c r="Q130" s="281"/><c r="R130" s="281"/><c r="S130" s="282"/><c r="T130" s="60"/><c r="U130" s="283" t="str"><f>Translation!A123</f><v>Produto energético</v></c><c r="V130" s="284"/><c r="W130" s="289" t="str"><f>Translation!A150</f><v>FACTORES DE EMISSÃO DE CO2</v></c><c r="X130" s="57"/><c r="Y130" s="57"/><c r="Z130" s="57"/><c r="AA130" s="57"/><c r="AB130" s="57"/><c r="AC130" s="57"/><c r="AD130" s="57"/><c r="AE130" s="57"/></row><row r="131" spans="2:31" s="51" customFormat="1" ht="15" customHeight="1" x14ac:dyDescent="0.25"><c r="B131" s="307"/><c r="C131" s="280" t="str"><f>Translation!A99</f><v>Combustíveis fósseis</v></c><c r="D131" s="281"/><c r="E131" s="281"/><c r="F131" s="281"/><c r="G131" s="281"/><c r="H131" s="281"/><c r="I131" s="282"/><c r="J131" s="280" t="str"><f>Translation!A108</f><v>Fontes energéticas renováveis</v></c><c r="K131" s="281"/><c r="L131" s="281"/><c r="M131" s="281"/><c r="N131" s="281"/><c r="O131" s="281"/><c r="P131" s="281"/><c r="Q131" s="281"/><c r="R131" s="282"/><c r="S131" s="292" t="str"><f>Translation!A119</f><v>TOTAL</v></c><c r="T131" s="60"/><c r="U131" s="285"/><c r="V131" s="286"/><c r="W131" s="290"/><c r="X131" s="57"/><c r="Y131" s="57"/><c r="Z131" s="57"/><c r="AA131" s="57"/><c r="AB131" s="57"/><c r="AC131" s="57"/><c r="AD131" s="57"/><c r="AE131" s="57"/></row><row r="132" spans="2:31" s="51" customFormat="1" ht="69.75" customHeight="1" x14ac:dyDescent="0.25"><c r="B132" s="61" t="str"><f>Translation!A123</f><v>Produto energético</v></c><c r="C132" s="105" t="str"><f>Translation!A100</f><v>Fuelóleo</v></c><c r="D132" s="105" t="str"><f>Translation!A101</f><v>Gasóleo</v></c><c r="E132" s="105" t="str"><f>Translation!A102</f><v>Gasolina</v></c><c r="F132" s="105" t="str"><f>Translation!A103</f><v>GPL</v></c><c r="G132" s="105" t="str"><f>Translation!A104</f><v>Gás natural</v></c><c r="H132" s="105" t="str"><f>Translation!A105</f><v>Carvão</v></c><c r="I132" s="105" t="str"><f>Translation!A117</f><v>Subtotal</v></c><c r="J132" s="105" t="str"><f>Translation!A109</f><v>Hídrica</v></c><c r="K132" s="105" t="str"><f>Translation!A110</f><v>Eólica</v></c><c r="L132" s="105" t="str"><f>Translation!A111</f><v>Solar</v></c><c r="M132" s="105" t="str"><f>Translation!A112</f><v>Geotérmica</v></c><c r="N132" s="105" t="str"><f>Translation!A113</f><v>Oceânica</v></c><c r="O132" s="105" t="str"><f>Translation!A114</f><v>Biomassa</v></c><c r="P132" s="105" t="str"><f>Translation!A115</f><v>Resíduos urbanos</v></c><c r="Q132" s="105" t="str"><f>Translation!A116</f><v>Recuperação de energia</v></c><c r="R132" s="105" t="str"><f>Translation!A117</f><v>Subtotal</v></c><c r="S132" s="292"/><c r="T132" s="60"/><c r="U132" s="287"/><c r="V132" s="288"/><c r="W132" s="291"/><c r="X132" s="57"/><c r="Y132" s="57"/><c r="Z132" s="57"/><c r="AA132" s="57"/><c r="AB132" s="57"/><c r="AC132" s="57"/><c r="AD132" s="57"/><c r="AE132" s="57"/></row><row r="133" spans="2:31" s="51" customFormat="1" ht="15.75" x14ac:dyDescent="0.25"><c r="B133" s="184" t="str"><f>Translation!A124</f><v>Electricidade</v></c><c r="C133" s="189"><f>'CO2 factors'!C$7*C69</f><v>72297.218297776533</v></c><c r="D133" s="189"><f>'CO2 factors'!D$7*D69</f><v>2490.5635087719297</v></c><c r="E133" s="189"><f>'CO2 factors'!E$7*E69</f><v>0</v></c><c r="F133" s="189"><f>'CO2 factors'!F$7*F69</f><v>0</v></c><c r="G133" s="189"><f>'CO2 factors'!G$7*G69</f><v>0</v></c><c r="H133" s="189"><f>'CO2 factors'!H$7*H69</f><v>0</v></c><c r="I133" s="59"><f>SUM(C133:H133)</f><v>74787.781806548461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74787.781806548461</v></c><c r="T133" s="58"/><c r="U133" s="294" t="str"><f>Translation!A124</f><v>Electricidade</v></c><c r="V133" s="295"/><c r="W133" s="190"><f>IF(S59&gt;0,S133/S59,0)</f><v>0.32737806212383125</v></c><c r="X133" s="57"/><c r="Y133" s="57"/><c r="Z133" s="57"/><c r="AA133" s="57"/><c r="AB133" s="57"/><c r="AC133" s="57"/><c r="AD133" s="57"/><c r="AE133" s="57"/></row><row r="134" spans="2:31" s="51" customFormat="1" ht="15.75" x14ac:dyDescent="0.25"><c r="B134" s="184" t="str"><f>Translation!A125</f><v>Calor</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3" t="str"><f>Translation!A125</f><v>Calor</v></c><c r="V134" s="293"/><c r="W134" s="190"><f>IF(S60&gt;0,S134/S60,0)</f><v>0</v></c><c r="X134" s="57"/><c r="Y134" s="57"/><c r="Z134" s="57"/><c r="AA134" s="57"/><c r="AB134" s="57"/><c r="AC134" s="57"/><c r="AD134" s="57"/><c r="AE134" s="57"/></row><row r="135" spans="2:31" s="51" customFormat="1" ht="15.75" x14ac:dyDescent="0.25"><c r="B135" s="184" t="str"><f>Translation!A126</f><v>Frio</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3" t="str"><f>Translation!A126</f><v>Frio</v></c><c r="V135" s="293"/><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72297.218297776533</v></c><c r="D136" s="53"><f t="shared" si="49"/><v>2490.5635087719297</v></c><c r="E136" s="53"><f t="shared" si="49"/><v>0</v></c><c r="F136" s="53"><f t="shared" si="49"/><v>0</v></c><c r="G136" s="53"><f t="shared" si="49"/><v>0</v></c><c r="H136" s="53"><f t="shared" si="49"/><v>0</v></c><c r="I136" s="53"><f t="shared" si="49"/><v>74787.781806548461</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74787.781806548461</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EMISSÕES DE CO2</v></c><c r="C139" s="88"/><c r="D139" s="88"/><c r="E139" s="88"/><c r="F139" s="88"/><c r="G139" s="88"/><c r="H139" s="88"/><c r="I139" s="89"/><c r="M139" s="89"/><c r="Y139" s="87" t="str"><f>Translation!$A$17</f><v>[t CO2]</v></c><c r="AB139" s="87" t="str"><f>Translation!$A$17</f><v>[t CO2]</v></c></row><row r="140" spans="2:31" s="51" customFormat="1" ht="30" customHeight="1" x14ac:dyDescent="0.25"><c r="B140" s="318" t="str"><f>Translation!A123</f><v>Produto energético</v></c><c r="C140" s="277" t="str"><f>Translation!A143</f><v>FONTE DE ENERGIA PRIMÁRIA</v></c><c r="D140" s="278"/><c r="E140" s="278"/><c r="F140" s="278"/><c r="G140" s="278"/><c r="H140" s="278"/><c r="I140" s="278"/><c r="J140" s="278"/><c r="K140" s="278"/><c r="L140" s="278"/><c r="M140" s="278"/><c r="N140" s="278"/><c r="O140" s="278"/><c r="P140" s="278"/><c r="Q140" s="278"/><c r="R140" s="278"/><c r="S140" s="278"/><c r="T140" s="278"/><c r="U140" s="278"/><c r="V140" s="278"/><c r="W140" s="278"/><c r="X140" s="278"/><c r="Y140" s="279"/><c r="AA140" s="289" t="str"><f>Translation!A151</f><v>Emissões de CO2 de instalações CELE incluídas no cálculo para a energia final</v></c><c r="AB140" s="289" t="str"><f>Translation!A152</f><v>Emissões de CO2 de instalações CELE incluídas no cálculo para a produção de energia secundária</v></c></row><row r="141" spans="2:31" s="51" customFormat="1" ht="15" customHeight="1" x14ac:dyDescent="0.25"><c r="B141" s="319"/><c r="C141" s="277" t="str"><f>Translation!A99</f><v>Combustíveis fósseis</v></c><c r="D141" s="278"/><c r="E141" s="278"/><c r="F141" s="278"/><c r="G141" s="278"/><c r="H141" s="278"/><c r="I141" s="279"/><c r="J141" s="277" t="str"><f>Translation!A108</f><v>Fontes energéticas renováveis</v></c><c r="K141" s="278"/><c r="L141" s="278"/><c r="M141" s="278"/><c r="N141" s="278"/><c r="O141" s="278"/><c r="P141" s="278"/><c r="Q141" s="278"/><c r="R141" s="279"/><c r="S141" s="296" t="str"><f>Translation!A124</f><v>Electricidade</v></c><c r="T141" s="297"/><c r="U141" s="297"/><c r="V141" s="298"/><c r="W141" s="108" t="str"><f>Translation!A125</f><v>Calor</v></c><c r="X141" s="108" t="str"><f>Translation!A126</f><v>Frio</v></c><c r="Y141" s="258" t="str"><f>Translation!A119</f><v>TOTAL</v></c><c r="AA141" s="290"/><c r="AB141" s="290"/></row><row r="142" spans="2:31" s="51" customFormat="1" ht="90.75" customHeight="1" x14ac:dyDescent="0.25"><c r="B142" s="320"/><c r="C142" s="106" t="str"><f>Translation!A100</f><v>Fuelóleo</v></c><c r="D142" s="106" t="str"><f>Translation!A101</f><v>Gasóleo</v></c><c r="E142" s="106" t="str"><f>Translation!A102</f><v>Gasolina</v></c><c r="F142" s="106" t="str"><f>Translation!A103</f><v>GPL</v></c><c r="G142" s="106" t="str"><f>Translation!A104</f><v>Gás natural</v></c><c r="H142" s="106" t="str"><f>Translation!A105</f><v>Carvão</v></c><c r="I142" s="106" t="str"><f>Translation!A117</f><v>Subtotal</v></c><c r="J142" s="106" t="str"><f>Translation!A109</f><v>Hídrica</v></c><c r="K142" s="106" t="str"><f>Translation!A110</f><v>Eólica</v></c><c r="L142" s="106" t="str"><f>Translation!A111</f><v>Solar</v></c><c r="M142" s="106" t="str"><f>Translation!A112</f><v>Geotérmica</v></c><c r="N142" s="106" t="str"><f>Translation!A113</f><v>Oceânica</v></c><c r="O142" s="106" t="str"><f>Translation!A114</f><v>Biomassa</v></c><c r="P142" s="106" t="str"><f>Translation!A115</f><v>Resíduos urbanos</v></c><c r="Q142" s="106" t="str"><f>Translation!A116</f><v>Recuperação de energia</v></c><c r="R142" s="106" t="str"><f>Translation!A117</f><v>Subtotal</v></c><c r="S142" s="54" t="str"><f>Translation!A145</f><v>Electricidade importada (cabo)</v></c><c r="T142" s="54" t="str"><f>Translation!A146</f><v>Electricidade exportada (cabo)</v></c><c r="U142" s="54" t="str"><f>Translation!A137</f><v>Reexportação e consumos externos</v></c><c r="V142" s="104" t="str"><f>Translation!A117</f><v>Subtotal</v></c><c r="W142" s="104" t="str"><f>Translation!A137</f><v>Reexportação e consumos externos</v></c><c r="X142" s="104" t="str"><f>Translation!A137</f><v>Reexportação e consumos externos</v></c><c r="Y142" s="258"/><c r="AA142" s="291"/><c r="AB142" s="291"/></row><row r="143" spans="2:31" s="51" customFormat="1" ht="15.75" x14ac:dyDescent="0.25"><c r="B143" s="107" t="str"><f>Translation!A119</f><v>TOTAL</v></c><c r="C143" s="186"><f>'CO2 factors'!C$7*C79</f><v>89148.26578860989</v></c><c r="D143" s="186"><f>'CO2 factors'!D$7*D79</f><v>80241.010022430084</v></c><c r="E143" s="186"><f>'CO2 factors'!E$7*E79</f><v>25023.57031619631</v></c><c r="F143" s="186"><f>'CO2 factors'!F$7*F79</f><v>10256.063981462998</v></c><c r="G143" s="186"><f>'CO2 factors'!G$7*G79</f><v>0</v></c><c r="H143" s="186"><f>'CO2 factors'!H$7*H79</f><v>0</v></c><c r="I143" s="53"><f>SUM(C143:H143)</f><v>204668.91010869926</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204668.91010869926</v></c><c r="AA143" s="154"/><c r="AB143" s="154"/></row><row r="144" spans="2:31" s="51" customFormat="1" ht="15" x14ac:dyDescent="0.25"><c r="B144" s="52"/></row><row r="145" spans="1:21" ht="15.75" customHeight="1" x14ac:dyDescent="0.25"><c r="A145" s="145"/><c r="B145" s="146"/></row><row r="146" spans="1:21" ht="18.75" customHeight="1" x14ac:dyDescent="0.35"><c r="A146" s="144"/><c r="B146" s="269" t="str"><f>Translation!A156</f><v xml:space="preserve">Continue na próxima página dedicada ao Plano de Acção para a Energia Sustentável </v></c><c r="C146" s="270"/><c r="D146" s="270"/><c r="E146" s="270"/><c r="F146" s="270"/><c r="G146" s="270"/><c r="H146" s="270"/><c r="I146" s="270"/><c r="J146" s="270"/><c r="K146" s="270"/><c r="L146" s="270"/><c r="M146" s="270"/><c r="N146" s="270"/><c r="O146" s="270"/><c r="P146" s="270"/><c r="Q146" s="270"/><c r="R146" s="270"/><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48" s="271"/><c r="D148" s="271"/><c r="E148" s="271"/><c r="F148" s="271"/><c r="G148" s="271"/><c r="H148" s="271"/><c r="I148" s="271"/><c r="J148" s="271"/><c r="K148" s="271"/><c r="L148" s="271"/><c r="M148" s="271"/><c r="N148" s="271"/><c r="O148" s="271"/><c r="P148" s="271"/><c r="Q148" s="271"/><c r="R148" s="271"/><c r="S148" s="271"/><c r="T148" s="271"/><c r="U148" s="271"/></row><row r="149" spans="1:21" ht="12.75" customHeight="1" x14ac:dyDescent="0.2"><c r="B149" s="271"/><c r="C149" s="271"/><c r="D149" s="271"/><c r="E149" s="271"/><c r="F149" s="271"/><c r="G149" s="271"/><c r="H149" s="271"/><c r="I149" s="271"/><c r="J149" s="271"/><c r="K149" s="271"/><c r="L149" s="271"/><c r="M149" s="271"/><c r="N149" s="271"/><c r="O149" s="271"/><c r="P149" s="271"/><c r="Q149" s="271"/><c r="R149" s="271"/><c r="S149" s="271"/><c r="T149" s="271"/><c r="U149" s="271"/></row><row r="150" spans="1:21" ht="12.75" customHeight="1" x14ac:dyDescent="0.2"><c r="B150" s="271"/><c r="C150" s="271"/><c r="D150" s="271"/><c r="E150" s="271"/><c r="F150" s="271"/><c r="G150" s="271"/><c r="H150" s="271"/><c r="I150" s="271"/><c r="J150" s="271"/><c r="K150" s="271"/><c r="L150" s="271"/><c r="M150" s="271"/><c r="N150" s="271"/><c r="O150" s="271"/><c r="P150" s="271"/><c r="Q150" s="271"/><c r="R150" s="271"/><c r="S150" s="271"/><c r="T150" s="271"/><c r="U150" s="271"/></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09"/><sheetViews><sheetView showGridLines="0" showZeros="0" topLeftCell="A7" zoomScale="70" zoomScaleNormal="70" workbookViewID_"0"><pane xSplit="2" ySplit="6" topLeftCell="C73" activePane="bottomRight" state="frozen"/><selection activeCell="A7" sqref="A7"/><selection pane="topRight" activeCell="C7" sqref="C7"/><selection pane="bottomLeft" activeCell="A13" sqref="A13"/><selection pane="bottomRight" activeCell="G22" sqref="G2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0" t="str"><f>Translation!$A$31</f><v>Plano de Acção para a Energia Sustentável nas Ilhas (PAES)</v></c><c r="B1" s="250"/><c r="C1" s="250"/><c r="D1" s="250"/><c r="E1" s="250"/><c r="F1" s="250"/><c r="G1" s="250"/><c r="H1" s="250"/><c r="I1" s="250"/><c r="J1" s="250"/><c r="K1" s="250"/><c r="L1" s="250"/><c r="M1" s="250"/></row><row r="2" spans="1:13" ht="28.5" customHeight="1" x14ac:dyDescent="0.25"><c r="A2" s="77"/><c r="B2" s="246" t="s"><v>1467</v></c><c r="C2" s="246"/><c r="D2" s="78" t="str"><f>Translation!$A$10</f><v>Ilha</v></c><c r="E2" s="79" t="str"><f>'Start here'!$B$5</f><v>Terceira</v></c><c r="F2" s="80"/><c r="G2" s="80"/><c r="H2" s="81"/><c r="I2" s="81"/><c r="J2" s="81"/><c r="K2" s="81"/><c r="L2" s="81"/><c r="M2" s="81"/></row><row r="3" spans="1:13" ht="38.25" customHeight="1" x14ac:dyDescent="0.25"><c r="A3" s="22"/><c r="B3" s="23"/><c r="C3" s="24"/><c r="E3" s="25"/><c r="F3" s="25"/><c r="H3" s="26"/><c r="L3" s="27"/><c r="M3" s="27"/></row><row r="4" spans="1:13" ht="15.75" x14ac:dyDescent="0.25"><c r="A4" s="29"/><c r="B4" s="30"/><c r="L4" s="347" t="str"><f>Translation!$A$53</f><v>Campos obrigatórios</v></c><c r="M4" s="347"/></row><row r="5" spans="1:13" s="101" customFormat="1" ht="36" x14ac:dyDescent="0.25"><c r="A5" s="111" t="s"><v>0</v></c><c r="B5" s="334" t="str"><f>Translation!A157</f><v>TÍTULO DO PLANO DE ACÇÃO PARA A ENERGIA SUSTENTÁVEL</v></c><c r="C5" s="334"/><c r="D5" s="334"/><c r="E5" s="334"/><c r="F5" s="334"/><c r="G5" s="334"/><c r="H5" s="334"/><c r="I5" s="334"/><c r="J5" s="334"/><c r="K5" s="334"/><c r="L5" s="334"/><c r="M5" s="334"/></row><row r="6" spans="1:13" ht="34.5" customHeight="1" x14ac:dyDescent="0.25"><c r="A6" s="28"/><c r="B6" s="339" t="s"><v>1513</v></c><c r="C6" s="340"/><c r="D6" s="340"/><c r="E6" s="340"/><c r="F6" s="340"/><c r="G6" s="340"/><c r="H6" s="340"/><c r="I6" s="340"/><c r="J6" s="340"/><c r="K6" s="340"/><c r="L6" s="340"/><c r="M6" s="341"/></row><row r="7" spans="1:13" ht="15.75" customHeight="1" x14ac:dyDescent="0.25"><c r="A7" s="29"/><c r="B7" s="30"/></row><row r="8" spans="1:13" ht="21.75" customHeight="1" x14ac:dyDescent="0.25"><c r="A8" s="29"/><c r="E8" s="31"/><c r="F8" s="45" t="str"><f>Translation!A159</f><v>Entidade que aprova o plano</v></c><c r="G8" s="346" t="s"><v>1514</v></c><c r="H8" s="346"/><c r="I8" s="346"/><c r="J8" s="346"/><c r="L8" s="32" t="str"><f>Translation!A158</f><v>Data de aprovação formal</v></c><c r="M8" s="238"/></row><row r="9" spans="1:13" ht="15.75" x14ac:dyDescent="0.25"><c r="A9" s="29"/><c r="B9" s="30"/></row><row r="10" spans="1:13" s="101" customFormat="1" ht="36" customHeight="1" x14ac:dyDescent="0.25"><c r="A10" s="100" t="s"><v>4</v></c><c r="B10" s="333" t="str"><f>Translation!A160</f><v>ELEMENTOS PRINCIPAIS DO PLANO DE ACÇÃO PARA A ENERGIA SUSTENTÁVEL</v></c><c r="C10" s="333"/><c r="D10" s="333"/><c r="E10" s="333"/><c r="F10" s="333"/><c r="G10" s="333"/><c r="H10" s="333"/><c r="I10" s="333"/><c r="J10" s="333"/><c r="K10" s="333"/><c r="L10" s="333"/><c r="M10" s="333"/></row><row r="11" spans="1:13" s="33" customFormat="1" ht="68.25" customHeight="1" x14ac:dyDescent="0.25"><c r="B11" s="342" t="str"><f>Translation!A161</f><v>SECTORES E ÁREAS DE INTERVENÇÃO</v></c><c r="C11" s="342" t="str"><f>Translation!A162</f><v>ACÇÕES
(uma linha por acção - inserir linhas se necessário; excluir acções CELE)</v></c><c r="D11" s="342" t="str"><f>Translation!A163</f><v>RESPONSÁVEL PELA IMPLEMENTAÇÃO</v></c><c r="E11" s="344" t="str"><f>Translation!A164</f><v>CALENDÁRIO DE IMPLEMENTAÇÃO</v></c><c r="F11" s="345"/><c r="G11" s="342" t="str"><f>Translation!A167</f><v>INVESTIMENTO ESTIMADO [euro]</v></c><c r="H11" s="342" t="str"><f>Translation!A168</f><v>POUPANÇA DE ENERGIA ESPERADA [MWh/ano]</v></c><c r="I11" s="342" t="str"><f>Translation!A169</f><v>AUMENTO DE ENERGIA RENOVÁVEL ESPERADO [MWh/ano]</v></c><c r="J11" s="342" t="str"><f>Translation!A170</f><v>REDUÇÃO DE EMISSÕES DE CO2 ESPERADA [t/ano]</v></c><c r="K11" s="342" t="str"><f>Translation!A171</f><v>META DE POUPANÇA DE ENERGIA EM 2020 [MWh/ano]</v></c><c r="L11" s="342" t="str"><f>Translation!A172</f><v>META DE AUMENTO DE ENERGIA RENOVÁVEL EM 2020 [MWh/ano]</v></c><c r="M11" s="342" t="str"><f>Translation!A173</f><v>META DE REDUÇÃO DE EMISSÕES DE CO2 EM 2020 [t/ano]</v></c></row><row r="12" spans="1:13" s="33" customFormat="1" ht="31.5" customHeight="1" x14ac:dyDescent="0.25"><c r="B12" s="343"/><c r="C12" s="343"/><c r="D12" s="343"/><c r="E12" s="34" t="str"><f>Translation!A165</f><v>Ano de início</v></c><c r="F12" s="34" t="str"><f>Translation!A166</f><v>Ano de conclusão</v></c><c r="G12" s="343"/><c r="H12" s="343"/><c r="I12" s="343"/><c r="J12" s="343"/><c r="K12" s="343"/><c r="L12" s="343"/><c r="M12" s="343"/></row><row r="13" spans="1:13" s="33" customFormat="1" ht="15" x14ac:dyDescent="0.25"><c r="B13" s="197" t="str"><f>Translation!A60</f><v>RESIDENCIAL</v></c><c r="C13" s="198"/><c r="D13" s="198"/><c r="E13" s="199"/><c r="F13" s="199"/><c r="G13" s="200"/><c r="H13" s="200"/><c r="I13" s="200"/><c r="J13" s="200"/><c r="K13" s="200"/><c r="L13" s="200"/><c r="M13" s="200"/></row><row r="14" spans="1:13" s="33" customFormat="1" ht="15" x14ac:dyDescent="0.25"><c r="B14" s="321" t="str"><f>Translation!A61</f><v>Água quente</v></c><c r="C14" s="218" t="s"><v>1515</v></c><c r="D14" s="218" t="s"><v>1516</v></c><c r="E14" s="219"><v>2013</v></c><c r="F14" s="220"><v>2020</v></c><c r="G14" s="221"><f>7616*1885.7</f><v>14361491.200000001</v></c><c r="H14" s="221"><f>7616*1.6</f><v>12185.6</v></c><c r="I14" s="221"><f>H14/0.7</f><v>17408</v></c><c r="J14" s="221"><f>H14*'CO2 factors'!$F$9</f><v>2924.5439999999999</v></c><c r="K14" s="330"><f>SUM(H14:H26)</f><v>30102.562967199996</v></c><c r="L14" s="330"><f t="shared" ref="L14:M14" si="0">SUM(I14:I26)</f><v>17408</v></c><c r="M14" s="335"><f t="shared" si="0"/><v>9280.276520976</v></c></row><row r="15" spans="1:13" s="239" customFormat="1" ht="15" x14ac:dyDescent="0.25"><c r="B15" s="338"/><c r="C15" s="240" t="s"><v>1517</v></c><c r="D15" s="240" t="s"><v>1516</v></c><c r="E15" s="241"><v>2012</v></c><c r="F15" s="242"><v>2020</v></c><c r="G15" s="243"><f>H15*530</f><v>3397618</v></c><c r="H15" s="243"><f>67480*9.5%</f><v>6410.6</v></c><c r="I15" s="243"/><c r="J15" s="243"><f>H15*'CO2 factors'!$F$9</f><v>1538.5440000000001</v></c><c r="K15" s="331"/><c r="L15" s="331"/><c r="M15" s="336"/></row><row r="16" spans="1:13" s="239" customFormat="1" ht="15" x14ac:dyDescent="0.25"><c r="B16" s="322"/><c r="C16" s="240" t="s"><v>1518</v></c><c r="D16" s="240" t="s"><v>1516</v></c><c r="E16" s="241"><v>2013</v></c><c r="F16" s="242"><v>2020</v></c><c r="G16" s="243"><f>19716*25%*4*5</f><v>98580</v></c><c r="H16" s="243"><f>72804*25%*30%</f><v>5460.3</v></c><c r="I16" s="243"/><c r="J16" s="243"><f>H16*'CO2 factors'!$F$9</f><v>1310.472</v></c><c r="K16" s="331"/><c r="L16" s="331"/><c r="M16" s="336"/></row><row r="17" spans="2:13" s="33" customFormat="1" ht="30" x14ac:dyDescent="0.25"><c r="B17" s="35" t="str"><f>Translation!A62</f><v>Aquecimento e arrefecimento</v></c><c r="C17" s="240" t="s"><v>1519</v></c><c r="D17" s="240" t="s"><v>1516</v></c><c r="E17" s="241"><v>2012</v></c><c r="F17" s="242"><v>2020</v></c><c r="G17" s="243"><f>H17*12000</f><v>21370204.799999997</v></c><c r="H17" s="243"><f>62706*2.84%</f><v>1780.8503999999998</v></c><c r="I17" s="243"/><c r="J17" s="243"><f>H17*0.58</f><v>1032.8932319999999</v></c><c r="K17" s="331"/><c r="L17" s="331"/><c r="M17" s="336"/></row><row r="18" spans="2:13" s="33" customFormat="1" ht="15" x14ac:dyDescent="0.25"><c r="B18" s="35" t="str"><f>Translation!A63</f><v>Iluminação</v></c><c r="C18" s="218" t="s"><v>1520</v></c><c r="D18" s="218" t="s"><v>1516</v></c><c r="E18" s="219"><v>2013</v></c><c r="F18" s="220"><v>2020</v></c><c r="G18" s="243"><f>19716*0.25*9*6</f><v>266166</v></c><c r="H18" s="243"><f>19716*0.25*9*40/1000000*2*365</f><v>1295.3412000000001</v></c><c r="I18" s="243"/><c r="J18" s="243"><f>H18*0.58</f><v>751.29789600000004</v></c><c r="K18" s="331"/><c r="L18" s="331"/><c r="M18" s="336"/></row><row r="19" spans="2:13" s="33" customFormat="1" ht="15" x14ac:dyDescent="0.25"><c r="B19" s="35" t="str"><f>Translation!A64</f><v>Cozinha</v></c><c r="C19" s="218"/><c r="D19" s="218"/><c r="E19" s="219"/><c r="F19" s="220"/><c r="G19" s="221"/><c r="H19" s="221"/><c r="I19" s="221"/><c r="J19" s="221"/><c r="K19" s="331"/><c r="L19" s="331"/><c r="M19" s="336"/></row><row r="20" spans="2:13" s="33" customFormat="1" ht="15" x14ac:dyDescent="0.25"><c r="B20" s="35" t="str"><f>Translation!A65</f><v>Frigoríficos e congeladores</v></c><c r="C20" s="240" t="s"><v>1521</v></c><c r="D20" s="240" t="s"><v>1516</v></c><c r="E20" s="241"><v>2013</v></c><c r="F20" s="242"><v>2020</v></c><c r="G20" s="243"><f>19716*0.2*330</f><v>1301256</v></c><c r="H20" s="243"><f>19716*0.2*328.571/1000</f><v>1295.6211672000002</v></c><c r="I20" s="243"/><c r="J20" s="243"><f>H20*0.58</f><v>751.46027697600005</v></c><c r="K20" s="331"/><c r="L20" s="331"/><c r="M20" s="336"/></row><row r="21" spans="2:13" s="33" customFormat="1" ht="15" x14ac:dyDescent="0.25"><c r="B21" s="35" t="str"><f>Translation!A66</f><v>Máquinas de lavar e secar roupa</v></c><c r="C21" s="240"/><c r="D21" s="240"/><c r="E21" s="241"/><c r="F21" s="242"/><c r="G21" s="243"/><c r="H21" s="243"/><c r="I21" s="243"/><c r="J21" s="243"/><c r="K21" s="331"/><c r="L21" s="331"/><c r="M21" s="336"/></row><row r="22" spans="2:13" s="33" customFormat="1" ht="15" x14ac:dyDescent="0.25"><c r="B22" s="35" t="str"><f>Translation!A67</f><v>Máquinas de lavar louça</v></c><c r="C22" s="240"/><c r="D22" s="240"/><c r="E22" s="241"/><c r="F22" s="242"/><c r="G22" s="243"/><c r="H22" s="243"/><c r="I22" s="243"/><c r="J22" s="243"/><c r="K22" s="331"/><c r="L22" s="331"/><c r="M22" s="336"/></row><row r="23" spans="2:13" s="33" customFormat="1" ht="30" x14ac:dyDescent="0.25"><c r="B23" s="35" t="str"><f>Translation!A68</f><v>Televisores</v></c><c r="C23" s="240" t="s"><v>1522</v></c><c r="D23" s="240" t="s"><v>1516</v></c><c r="E23" s="241"><v>2012</v></c><c r="F23" s="242"><v>2020</v></c><c r="G23" s="243"/><c r="H23" s="243"><f>62706*2.67%</f><v>1674.2501999999999</v></c><c r="I23" s="243"/><c r="J23" s="243"><f>H23*0.58</f><v>971.06511599999988</v></c><c r="K23" s="331"/><c r="L23" s="331"/><c r="M23" s="336"/></row><row r="24" spans="2:13" s="33" customFormat="1" ht="15" x14ac:dyDescent="0.25"><c r="B24" s="35" t="str"><f>Translation!A69</f><v>Outros aparelhos eléctricos</v></c><c r="C24" s="218"/><c r="D24" s="218"/><c r="E24" s="219"/><c r="F24" s="220"/><c r="G24" s="221"/><c r="H24" s="221"/><c r="I24" s="221"/><c r="J24" s="221"/><c r="K24" s="331"/><c r="L24" s="331"/><c r="M24" s="336"/></row><row r="25" spans="2:13" s="33" customFormat="1" ht="15" x14ac:dyDescent="0.25"><c r="B25" s="35" t="str"><f>Translation!A59</f><v>Acções gerais</v></c><c r="C25" s="218"/><c r="D25" s="218"/><c r="E25" s="219"/><c r="F25" s="220"/><c r="G25" s="221"/><c r="H25" s="221"/><c r="I25" s="221"/><c r="J25" s="221"/><c r="K25" s="331"/><c r="L25" s="331"/><c r="M25" s="336"/></row><row r="26" spans="2:13" s="33" customFormat="1" ht="7.5" customHeight="1" x14ac:dyDescent="0.25"><c r="B26" s="35"/><c r="C26" s="16"/><c r="D26" s="16"/><c r="E26" s="17"/><c r="F26" s="18"/><c r="G26" s="19"/><c r="H26" s="19"/><c r="I26" s="19"/><c r="J26" s="19"/><c r="K26" s="332"/><c r="L26" s="332"/><c r="M26" s="337"/></row><row r="27" spans="2:13" s="33" customFormat="1" ht="15" x14ac:dyDescent="0.25"><c r="B27" s="197" t="str"><f>Translation!A70</f><v>SECTOR PRIMÁRIO</v></c><c r="C27" s="198"/><c r="D27" s="198"/><c r="E27" s="199"/><c r="F27" s="199"/><c r="G27" s="200"/><c r="H27" s="200"/><c r="I27" s="200"/><c r="J27" s="200"/><c r="K27" s="200"/><c r="L27" s="200"/><c r="M27" s="200"/></row><row r="28" spans="2:13" s="33" customFormat="1" ht="30" x14ac:dyDescent="0.25"><c r="B28" s="35" t="str"><f>Translation!A71</f><v>Agricultura, produção animal, caça, floresta e pesca</v></c><c r="C28" s="218"/><c r="D28" s="218"/><c r="E28" s="219"/><c r="F28" s="220"/><c r="G28" s="221"/><c r="H28" s="221"/><c r="I28" s="221"/><c r="J28" s="221"/><c r="K28" s="330"><f>SUM(H28:H31)</f><v>0</v></c><c r="L28" s="330"><f>SUM(I28:I31)</f><v>0</v></c><c r="M28" s="335"><f>SUM(J28:J31)</f><v>0</v></c></row><row r="29" spans="2:13" s="33" customFormat="1" ht="15" x14ac:dyDescent="0.25"><c r="B29" s="35" t="str"><f>Translation!A72</f><v>Indústrias extractivas</v></c><c r="C29" s="218"/><c r="D29" s="218"/><c r="E29" s="219"/><c r="F29" s="220"/><c r="G29" s="221"/><c r="H29" s="221"/><c r="I29" s="221"/><c r="J29" s="221"/><c r="K29" s="331"/><c r="L29" s="331"/><c r="M29" s="336"/></row><row r="30" spans="2:13" s="33" customFormat="1" ht="15" x14ac:dyDescent="0.25"><c r="B30" s="35" t="str"><f>Translation!A59</f><v>Acções gerais</v></c><c r="C30" s="218"/><c r="D30" s="218"/><c r="E30" s="219"/><c r="F30" s="220"/><c r="G30" s="221"/><c r="H30" s="221"/><c r="I30" s="221"/><c r="J30" s="221"/><c r="K30" s="331"/><c r="L30" s="331"/><c r="M30" s="336"/></row><row r="31" spans="2:13" s="33" customFormat="1" ht="7.5" customHeight="1" x14ac:dyDescent="0.25"><c r="B31" s="35"/><c r="C31" s="16"/><c r="D31" s="16"/><c r="E31" s="17"/><c r="F31" s="18"/><c r="G31" s="19"/><c r="H31" s="19"/><c r="I31" s="19"/><c r="J31" s="19"/><c r="K31" s="332"/><c r="L31" s="332"/><c r="M31" s="337"/></row><row r="32" spans="2:13" s="33" customFormat="1" ht="15" x14ac:dyDescent="0.25"><c r="B32" s="197" t="str"><f>Translation!A73</f><v>SECTOR SECUNDÁRIO</v></c><c r="C32" s="198"/><c r="D32" s="198"/><c r="E32" s="199"/><c r="F32" s="199"/><c r="G32" s="200"/><c r="H32" s="200"/><c r="I32" s="200"/><c r="J32" s="200"/><c r="K32" s="200"/><c r="L32" s="200"/><c r="M32" s="200"/></row><row r="33" spans="2:13" s="33" customFormat="1" ht="15" x14ac:dyDescent="0.25"><c r="B33" s="35" t="str"><f>Translation!A74</f><v>Indústrias transformadoras</v></c><c r="C33" s="218"/><c r="D33" s="218"/><c r="E33" s="219"/><c r="F33" s="220"/><c r="G33" s="221"/><c r="H33" s="221"/><c r="I33" s="221"/><c r="J33" s="221"/><c r="K33" s="330"><f>SUM(H33:H37)</f><v>0</v></c><c r="L33" s="330"><f t="shared" ref="L33:M33" si="1">SUM(I33:I37)</f><v>0</v></c><c r="M33" s="335"><f t="shared" si="1"/><v>0</v></c></row><row r="34" spans="2:13" s="33" customFormat="1" ht="60" x14ac:dyDescent="0.25"><c r="B34" s="35" t="str"><f>Translation!A75</f><v>Captação, tratamento e distribuição de água; saneamento, gestão de resíduos
e despoluição</v></c><c r="C34" s="218"/><c r="D34" s="218"/><c r="E34" s="219"/><c r="F34" s="220"/><c r="G34" s="221"/><c r="H34" s="221"/><c r="I34" s="221"/><c r="J34" s="221"/><c r="K34" s="331"/><c r="L34" s="331"/><c r="M34" s="336"/></row><row r="35" spans="2:13" s="33" customFormat="1" ht="15" x14ac:dyDescent="0.25"><c r="B35" s="35" t="str"><f>Translation!A76</f><v>Construção</v></c><c r="C35" s="218"/><c r="D35" s="218"/><c r="E35" s="219"/><c r="F35" s="220"/><c r="G35" s="221"/><c r="H35" s="221"/><c r="I35" s="221"/><c r="J35" s="221"/><c r="K35" s="331"/><c r="L35" s="331"/><c r="M35" s="336"/></row><row r="36" spans="2:13" s="33" customFormat="1" ht="15" x14ac:dyDescent="0.25"><c r="B36" s="35" t="str"><f>Translation!A59</f><v>Acções gerais</v></c><c r="C36" s="218"/><c r="D36" s="218"/><c r="E36" s="219"/><c r="F36" s="220"/><c r="G36" s="221"/><c r="H36" s="221"/><c r="I36" s="221"/><c r="J36" s="221"/><c r="K36" s="331"/><c r="L36" s="331"/><c r="M36" s="336"/></row><row r="37" spans="2:13" s="33" customFormat="1" ht="7.5" customHeight="1" x14ac:dyDescent="0.25"><c r="B37" s="35"/><c r="C37" s="16"/><c r="D37" s="16"/><c r="E37" s="17"/><c r="F37" s="18"/><c r="G37" s="19"/><c r="H37" s="19"/><c r="I37" s="19"/><c r="J37" s="19"/><c r="K37" s="332"/><c r="L37" s="332"/><c r="M37" s="337"/></row><row r="38" spans="2:13" s="33" customFormat="1" ht="15" x14ac:dyDescent="0.25"><c r="B38" s="197" t="str"><f>Translation!A77</f><v>SECTOR TERCIÁRIO</v></c><c r="C38" s="198"/><c r="D38" s="198"/><c r="E38" s="199"/><c r="F38" s="199"/><c r="G38" s="200"/><c r="H38" s="200"/><c r="I38" s="200"/><c r="J38" s="200"/><c r="K38" s="200"/><c r="L38" s="200"/><c r="M38" s="200"/></row><row r="39" spans="2:13" s="33" customFormat="1" ht="45" x14ac:dyDescent="0.25"><c r="B39" s="35" t="str"><f>Translation!A78</f><v>Comércio por grosso e a retalho; reparação de veículos automóveis e motociclos</v></c><c r="C39" s="218"/><c r="D39" s="218"/><c r="E39" s="219"/><c r="F39" s="220"/><c r="G39" s="221"/><c r="H39" s="221"/><c r="I39" s="221"/><c r="J39" s="221"/><c r="K39" s="330"><f>SUM(H39:H48)</f><v>1475.6</v></c><c r="L39" s="330"><f t="shared" ref="L39:M39" si="2">SUM(I39:I48)</f><v>0</v></c><c r="M39" s="335"><f t="shared" si="2"/><v>855.84799999999984</v></c></row><row r="40" spans="2:13" s="33" customFormat="1" ht="15" x14ac:dyDescent="0.25"><c r="B40" s="35" t="str"><f>Translation!A79</f><v>Alojamento, restauração e similares</v></c><c r="C40" s="218"/><c r="D40" s="218"/><c r="E40" s="219"/><c r="F40" s="220"/><c r="G40" s="221"/><c r="H40" s="221"/><c r="I40" s="221"/><c r="J40" s="221"/><c r="K40" s="331"/><c r="L40" s="331"/><c r="M40" s="336"/></row><row r="41" spans="2:13" s="33" customFormat="1" ht="30" x14ac:dyDescent="0.25"><c r="B41" s="35" t="str"><f>Translation!A80</f><v>Administração pública e segurança social</v></c><c r="C41" s="218"/><c r="D41" s="218"/><c r="E41" s="219"/><c r="F41" s="220"/><c r="G41" s="221"/><c r="H41" s="221"/><c r="I41" s="221"/><c r="J41" s="221"/><c r="K41" s="331"/><c r="L41" s="331"/><c r="M41" s="336"/></row><row r="42" spans="2:13" s="33" customFormat="1" ht="15" x14ac:dyDescent="0.25"><c r="B42" s="35" t="str"><f>Translation!A81</f><v>Defesa, justiça, polícia e bombeiros</v></c><c r="C42" s="218"/><c r="D42" s="218"/><c r="E42" s="219"/><c r="F42" s="220"/><c r="G42" s="221"/><c r="H42" s="221"/><c r="I42" s="221"/><c r="J42" s="221"/><c r="K42" s="331"/><c r="L42" s="331"/><c r="M42" s="336"/></row><row r="43" spans="2:13" s="33" customFormat="1" ht="15" x14ac:dyDescent="0.25"><c r="B43" s="35" t="str"><f>Translation!A82</f><v>Educação</v></c><c r="C43" s="218"/><c r="D43" s="218"/><c r="E43" s="219"/><c r="F43" s="220"/><c r="G43" s="221"/><c r="H43" s="221"/><c r="I43" s="221"/><c r="J43" s="221"/><c r="K43" s="331"/><c r="L43" s="331"/><c r="M43" s="336"/></row><row r="44" spans="2:13" s="33" customFormat="1" ht="30" x14ac:dyDescent="0.25"><c r="B44" s="35" t="str"><f>Translation!A83</f><v>Actividades de saúde humana e apoio social</v></c><c r="C44" s="218"/><c r="D44" s="218"/><c r="E44" s="219"/><c r="F44" s="220"/><c r="G44" s="221"/><c r="H44" s="221"/><c r="I44" s="221"/><c r="J44" s="221"/><c r="K44" s="331"/><c r="L44" s="331"/><c r="M44" s="336"/></row><row r="45" spans="2:13" s="33" customFormat="1" ht="15" x14ac:dyDescent="0.25"><c r="B45" s="35" t="str"><f>Translation!A84</f><v>Outros serviços</v></c><c r="C45" s="218"/><c r="D45" s="218"/><c r="E45" s="219"/><c r="F45" s="220"/><c r="G45" s="221"/><c r="H45" s="221"/><c r="I45" s="221"/><c r="J45" s="221"/><c r="K45" s="331"/><c r="L45" s="331"/><c r="M45" s="336"/></row><row r="46" spans="2:13" s="33" customFormat="1" ht="30" x14ac:dyDescent="0.25"><c r="B46" s="35" t="str"><f>Translation!A85</f><v>Iluminação pública</v></c><c r="C46" s="240" t="s"><v>1523</v></c><c r="D46" s="240" t="s"><v>1524</v></c><c r="E46" s="241"><v>2012</v></c><c r="F46" s="242"><v>2012</v></c><c r="G46" s="243"/><c r="H46" s="243"><f>4216*0.35</f><v>1475.6</v></c><c r="I46" s="243"/><c r="J46" s="243"><f>H46*0.58</f><v>855.84799999999984</v></c><c r="K46" s="331"/><c r="L46" s="331"/><c r="M46" s="336"/></row><row r="47" spans="2:13" s="33" customFormat="1" ht="15" x14ac:dyDescent="0.25"><c r="B47" s="35" t="str"><f>Translation!A59</f><v>Acções gerais</v></c><c r="C47" s="218"/><c r="D47" s="218"/><c r="E47" s="219"/><c r="F47" s="220"/><c r="G47" s="221"/><c r="H47" s="221"/><c r="I47" s="221"/><c r="J47" s="221"/><c r="K47" s="331"/><c r="L47" s="331"/><c r="M47" s="336"/></row><row r="48" spans="2:13" s="33" customFormat="1" ht="7.5" customHeight="1" x14ac:dyDescent="0.25"><c r="B48" s="35"/><c r="C48" s="16"/><c r="D48" s="16"/><c r="E48" s="17"/><c r="F48" s="18"/><c r="G48" s="19"/><c r="H48" s="19"/><c r="I48" s="19"/><c r="J48" s="19"/><c r="K48" s="332"/><c r="L48" s="332"/><c r="M48" s="337"/></row><row r="49" spans="2:13" s="33" customFormat="1" ht="15" x14ac:dyDescent="0.25"><c r="B49" s="197" t="str"><f>Translation!A86</f><v>TRANSPORTES</v></c><c r="C49" s="198"/><c r="D49" s="198"/><c r="E49" s="199"/><c r="F49" s="199"/><c r="G49" s="200"/><c r="H49" s="200"/><c r="I49" s="200"/><c r="J49" s="200"/><c r="K49" s="200"/><c r="L49" s="200"/><c r="M49" s="200"/></row><row r="50" spans="2:13" s="33" customFormat="1" ht="45" x14ac:dyDescent="0.25"><c r="B50" s="35" t="str"><f>Translation!A87</f><v>Transporte de passageiros por estrada (transportes públicos, táxis, turismo, transporte escolar, etc.)</v></c><c r="C50" s="240" t="s"><v>1525</v></c><c r="D50" s="240" t="s"><v>1526</v></c><c r="E50" s="241"><v>2011</v></c><c r="F50" s="242"><v>2016</v></c><c r="G50" s="243"/><c r="H50" s="243"><f>57864*10%*8%*90%</f><v>416.62080000000003</v></c><c r="I50" s="243"/><c r="J50" s="243"><f>H50*'CO2 factors'!D9</f><v>111.23775360000002</v></c><c r="K50" s="330"><f>SUM(H50:H55)</f><v>3338.5208000000002</v></c><c r="L50" s="330"><f t="shared" ref="L50:M50" si="3">SUM(I50:I55)</f><v>0</v></c><c r="M50" s="335"><f t="shared" si="3"/><v>1363.2377535999999</v></c></row><row r="51" spans="2:13" s="33" customFormat="1" ht="30" x14ac:dyDescent="0.25"><c r="B51" s="35" t="str"><f>Translation!A88</f><v>Transporte de mercadorias por estrada e serviços de mudanças</v></c><c r="C51" s="240"/><c r="D51" s="240"/><c r="E51" s="241"/><c r="F51" s="242" t="s"><v>1527</v></c><c r="G51" s="243"/><c r="H51" s="243"/><c r="I51" s="243"/><c r="J51" s="243"/><c r="K51" s="331"/><c r="L51" s="331"/><c r="M51" s="336"/></row><row r="52" spans="2:13" s="33" customFormat="1" ht="30" x14ac:dyDescent="0.25"><c r="B52" s="35" t="str"><f>Translation!A89</f><v>Outras frotas de serviços públicos e privados</v></c><c r="C52" s="240"/><c r="D52" s="240"/><c r="E52" s="241"/><c r="F52" s="242"/><c r="G52" s="243"/><c r="H52" s="243"/><c r="I52" s="243"/><c r="J52" s="243"/><c r="K52" s="331"/><c r="L52" s="331"/><c r="M52" s="336"/></row><row r="53" spans="2:13" s="33" customFormat="1" ht="15" x14ac:dyDescent="0.25"><c r="B53" s="35" t="str"><f>Translation!A90</f><v>Transporte particular</v></c><c r="C53" s="240" t="s"><v>1528</v></c><c r="D53" s="240" t="s"><v>1516</v></c><c r="E53" s="241"><v>2014</v></c><c r="F53" s="242"><v>2020</v></c><c r="G53" s="243"><f>2000*5500</f><v>11000000</v></c><c r="H53" s="243"><v>2921.9</v></c><c r="I53" s="243"/><c r="J53" s="243"><v>1252</v></c><c r="K53" s="331"/><c r="L53" s="331"/><c r="M53" s="336"/></row><row r="54" spans="2:13" s="33" customFormat="1" ht="15" x14ac:dyDescent="0.25"><c r="B54" s="35" t="str"><f>Translation!A59</f><v>Acções gerais</v></c><c r="C54" s="218"/><c r="D54" s="218"/><c r="E54" s="219"/><c r="F54" s="220"/><c r="G54" s="221"/><c r="H54" s="221"/><c r="I54" s="221"/><c r="J54" s="221"/><c r="K54" s="331"/><c r="L54" s="331"/><c r="M54" s="336"/></row><row r="55" spans="2:13" s="33" customFormat="1" ht="7.5" customHeight="1" x14ac:dyDescent="0.25"><c r="B55" s="35"/><c r="C55" s="16"/><c r="D55" s="16"/><c r="E55" s="17"/><c r="F55" s="18"/><c r="G55" s="19"/><c r="H55" s="19"/><c r="I55" s="19"/><c r="J55" s="19"/><c r="K55" s="332"/><c r="L55" s="332"/><c r="M55" s="337"/></row><row r="56" spans="2:13" s="33" customFormat="1" ht="15" x14ac:dyDescent="0.25"><c r="B56" s="197" t="str"><f>Translation!$A$174</f><v>PRODUÇÃO DE ENERGIA SECUNDÁRIA E FLUXOS ENERGÉTICOS</v></c><c r="C56" s="198"/><c r="D56" s="198"/><c r="E56" s="199"/><c r="F56" s="199"/><c r="G56" s="200"/><c r="H56" s="200"/><c r="I56" s="200"/><c r="J56" s="200"/><c r="K56" s="200"/><c r="L56" s="200"/><c r="M56" s="200"/></row><row r="57" spans="2:13" s="33" customFormat="1" ht="15" x14ac:dyDescent="0.25"><c r="B57" s="35" t="str"><f>Translation!$A$175</f><v>Electricidade (não renovável)</v></c><c r="C57" s="218"/><c r="D57" s="218"/><c r="E57" s="219"/><c r="F57" s="220"/><c r="G57" s="221"/><c r="H57" s="221"/><c r="I57" s="221"/><c r="J57" s="221"/><c r="K57" s="330"><f>SUM(H57:H73)</f><v>0</v></c><c r="L57" s="330"><f t="shared" ref="L57:M57" si="4">SUM(I57:I73)</f><v>84534</v></c><c r="M57" s="335"><f t="shared" si="4"/><v>52919.16</v></c></row><row r="58" spans="2:13" s="33" customFormat="1" ht="15" x14ac:dyDescent="0.25"><c r="B58" s="35" t="str"><f>Translation!$A$176</f><v>Calor (não renovável)</v></c><c r="C58" s="218"/><c r="D58" s="218"/><c r="E58" s="219"/><c r="F58" s="220"/><c r="G58" s="221"/><c r="H58" s="221"/><c r="I58" s="221"/><c r="J58" s="221"/><c r="K58" s="331"/><c r="L58" s="331"/><c r="M58" s="336"/></row><row r="59" spans="2:13" s="33" customFormat="1" ht="15" x14ac:dyDescent="0.25"><c r="B59" s="35" t="str"><f>Translation!$A$177</f><v>Frio (não renovável)</v></c><c r="C59" s="218"/><c r="D59" s="218"/><c r="E59" s="219"/><c r="F59" s="220"/><c r="G59" s="221"/><c r="H59" s="221"/><c r="I59" s="221"/><c r="J59" s="221"/><c r="K59" s="331"/><c r="L59" s="331"/><c r="M59" s="336"/></row><row r="60" spans="2:13" s="33" customFormat="1" ht="15" x14ac:dyDescent="0.25"><c r="B60" s="35" t="str"><f>Translation!$A$178</f><v>Hídrica</v></c><c r="C60" s="218"/><c r="D60" s="218"/><c r="E60" s="219"/><c r="F60" s="220"/><c r="G60" s="221"/><c r="H60" s="221"/><c r="I60" s="221"/><c r="J60" s="221"/><c r="K60" s="331"/><c r="L60" s="331"/><c r="M60" s="336"/></row><row r="61" spans="2:13" s="239" customFormat="1" ht="15" x14ac:dyDescent="0.25"><c r="B61" s="321" t="str"><f>Translation!$A$179</f><v>Eólica</v></c><c r="C61" s="240" t="s"><v>1529</v></c><c r="D61" s="240" t="s"><v>1530</v></c><c r="E61" s="241"><v>2011</v></c><c r="F61" s="242"><v>2012</v></c><c r="G61" s="243"><v>5500000</v></c><c r="H61" s="243"/><c r="I61" s="243"><f>4.5*8760*0.45</f><v>17739</v></c><c r="J61" s="243"><f>I61*0.58</f><v>10288.619999999999</v></c><c r="K61" s="331"/><c r="L61" s="331"/><c r="M61" s="336"/></row><row r="62" spans="2:13" s="33" customFormat="1" ht="15" x14ac:dyDescent="0.25"><c r="B62" s="322"/><c r="C62" s="218" t="s"><v>1536</v></c><c r="D62" s="218" t="s"><v>1537</v></c><c r="E62" s="219"><v>2013</v></c><c r="F62" s="220"><v>2014</v></c><c r="G62" s="221"><f>1.2*2*1000000</f><v>2400000</v></c><c r="H62" s="221"/><c r="I62" s="221"><f>2*8760*0.3</f><v>5256</v></c><c r="J62" s="221"><f>I62*0.58</f><v>3048.4799999999996</v></c><c r="K62" s="331"/><c r="L62" s="331"/><c r="M62" s="336"/></row><row r="63" spans="2:13" s="33" customFormat="1" ht="15" x14ac:dyDescent="0.25"><c r="B63" s="35" t="str"><f>Translation!$A$180</f><v>Solar</v></c><c r="C63" s="218" t="s"><v>1531</v></c><c r="D63" s="218" t="s"><v>1516</v></c><c r="E63" s="219"><v>2016</v></c><c r="F63" s="220"><v>2020</v></c><c r="G63" s="221"><f>500*10000</f><v>5000000</v></c><c r="H63" s="221"/><c r="I63" s="221"><f>1*8760*12.5%</f><v>1095</v></c><c r="J63" s="243"><f t="shared" ref="J63:J65" si="5">I63*0.58</f><v>635.09999999999991</v></c><c r="K63" s="331"/><c r="L63" s="331"/><c r="M63" s="336"/></row><row r="64" spans="2:13" s="239" customFormat="1" ht="15" x14ac:dyDescent="0.25"><c r="B64" s="321" t="str"><f>Translation!$A$181</f><v>Geotérmica</v></c><c r="C64" s="240" t="s"><v>1532</v></c><c r="D64" s="240" t="s"><v>1530</v></c><c r="E64" s="241"><v>2014</v></c><c r="F64" s="242"><v>2015</v></c><c r="G64" s="243" t="s"><v>1533</v></c><c r="H64" s="243"/><c r="I64" s="243"><f>3*8760*85%</f><v>22338</v></c><c r="J64" s="243"><f t="shared" si="5"/><v>12956.039999999999</v></c><c r="K64" s="331"/><c r="L64" s="331"/><c r="M64" s="336"/></row><row r="65" spans="2:13" s="33" customFormat="1" ht="15" x14ac:dyDescent="0.25"><c r="B65" s="322"/><c r="C65" s="218" t="s"><v>1538</v></c><c r="D65" s="218" t="s"><v>1530</v></c><c r="E65" s="219"><v>2017</v></c><c r="F65" s="220"><v>2018</v></c><c r="G65" s="221" t="s"><v>1533</v></c><c r="H65" s="221"/><c r="I65" s="221"><f>3*8760*85%</f><v>22338</v></c><c r="J65" s="243"><f t="shared" si="5"/><v>12956.039999999999</v></c><c r="K65" s="331"/><c r="L65" s="331"/><c r="M65" s="336"/></row><row r="66" spans="2:13" s="33" customFormat="1" ht="15" x14ac:dyDescent="0.25"><c r="B66" s="35" t="str"><f>Translation!$A$182</f><v>Oceânica</v></c><c r="C66" s="218"/><c r="D66" s="218"/><c r="E66" s="219"/><c r="F66" s="220"/><c r="G66" s="221"/><c r="H66" s="221"/><c r="I66" s="221"/><c r="J66" s="243"/><c r="K66" s="331"/><c r="L66" s="331"/><c r="M66" s="336"/></row><row r="67" spans="2:13" s="33" customFormat="1" ht="15" x14ac:dyDescent="0.25"><c r="B67" s="35" t="str"><f>Translation!$A$183</f><v>Biomassa</v></c><c r="C67" s="218" t="s"><v>1534</v></c><c r="D67" s="218" t="s"><v>1535</v></c><c r="E67" s="219"><v>2012</v></c><c r="F67" s="220"><v>2013</v></c><c r="G67" s="221"><v>3000000</v></c><c r="H67" s="221"/><c r="I67" s="221"><f>2*8760*90%</f><v>15768</v></c><c r="J67" s="243"><f>((2*8760*90%)/45%+(2*8760*60%)/90%)*'CO2 factors'!C9</f><v>13034.880000000001</v></c><c r="K67" s="331"/><c r="L67" s="331"/><c r="M67" s="336"/></row><row r="68" spans="2:13" s="33" customFormat="1" ht="15" x14ac:dyDescent="0.25"><c r="B68" s="35" t="str"><f>Translation!$A$184</f><v>Resíduos urbanos</v></c><c r="C68" s="218"/><c r="D68" s="218"/><c r="E68" s="219"/><c r="F68" s="220"/><c r="G68" s="221"/><c r="H68" s="221"/><c r="I68" s="221"/><c r="J68" s="221"/><c r="K68" s="331"/><c r="L68" s="331"/><c r="M68" s="336"/></row><row r="69" spans="2:13" s="33" customFormat="1" ht="15" x14ac:dyDescent="0.25"><c r="B69" s="35" t="str"><f>Translation!$A$185</f><v>Armazenamento</v></c><c r="C69" s="218"/><c r="D69" s="218"/><c r="E69" s="219"/><c r="F69" s="220"/><c r="G69" s="221"/><c r="H69" s="221"/><c r="I69" s="221"/><c r="J69" s="221"/><c r="K69" s="331"/><c r="L69" s="331"/><c r="M69" s="336"/></row><row r="70" spans="2:13" s="33" customFormat="1" ht="15" x14ac:dyDescent="0.25"><c r="B70" s="35" t="str"><f>Translation!$A$186</f><v>Ligação externa</v></c><c r="C70" s="218"/><c r="D70" s="218"/><c r="E70" s="219"/><c r="F70" s="220"/><c r="G70" s="221"/><c r="H70" s="221"/><c r="I70" s="221"/><c r="J70" s="221"/><c r="K70" s="331"/><c r="L70" s="331"/><c r="M70" s="336"/></row><row r="71" spans="2:13" s="33" customFormat="1" ht="30" x14ac:dyDescent="0.25"><c r="B71" s="35" t="str"><f>Translation!$A$187</f><v>Perdas de distribuição e consumos próprios</v></c><c r="C71" s="218"/><c r="D71" s="218"/><c r="E71" s="219"/><c r="F71" s="220"/><c r="G71" s="221"/><c r="H71" s="221"/><c r="I71" s="221"/><c r="J71" s="221"/><c r="K71" s="331"/><c r="L71" s="331"/><c r="M71" s="336"/></row><row r="72" spans="2:13" s="33" customFormat="1" ht="15" x14ac:dyDescent="0.25"><c r="B72" s="35" t="str"><f>Translation!A59</f><v>Acções gerais</v></c><c r="C72" s="218"/><c r="D72" s="218"/><c r="E72" s="219"/><c r="F72" s="220"/><c r="G72" s="221"/><c r="H72" s="221"/><c r="I72" s="221"/><c r="J72" s="221"/><c r="K72" s="331"/><c r="L72" s="331"/><c r="M72" s="336"/></row><row r="73" spans="2:13" s="33" customFormat="1" ht="7.5" customHeight="1" x14ac:dyDescent="0.25"><c r="B73" s="35"/><c r="C73" s="16"/><c r="D73" s="16"/><c r="E73" s="17"/><c r="F73" s="18"/><c r="G73" s="19"/><c r="H73" s="19"/><c r="I73" s="19"/><c r="J73" s="19"/><c r="K73" s="332"/><c r="L73" s="332"/><c r="M73" s="337"/></row><row r="74" spans="2:13" s="33" customFormat="1" ht="15" x14ac:dyDescent="0.25"><c r="B74" s="197" t="str"><f>Translation!A188</f><v>ORDENAMENTO DO TERRITÓRIO</v></c><c r="C74" s="198"/><c r="D74" s="198"/><c r="E74" s="199"/><c r="F74" s="199"/><c r="G74" s="200"/><c r="H74" s="200"/><c r="I74" s="200"/><c r="J74" s="200"/><c r="K74" s="200"/><c r="L74" s="200"/><c r="M74" s="200"/></row><row r="75" spans="2:13" s="33" customFormat="1" ht="30" x14ac:dyDescent="0.25"><c r="B75" s="35" t="str"><f>Translation!A189</f><v>Planeamento estratégico local e regional</v></c><c r="C75" s="218"/><c r="D75" s="218"/><c r="E75" s="219"/><c r="F75" s="220"/><c r="G75" s="221"/><c r="H75" s="221"/><c r="I75" s="221"/><c r="J75" s="221"/><c r="K75" s="330"><f>SUM(H75:H80)</f><v>0</v></c><c r="L75" s="330"><f t="shared" ref="L75:M75" si="6">SUM(I75:I80)</f><v>0</v></c><c r="M75" s="330"><f t="shared" si="6"/><v>0</v></c></row><row r="76" spans="2:13" s="33" customFormat="1" ht="30" x14ac:dyDescent="0.25"><c r="B76" s="35" t="str"><f>Translation!A190</f><v>Planeamento de transportes e mobilidade</v></c><c r="C76" s="218"/><c r="D76" s="218"/><c r="E76" s="219"/><c r="F76" s="220"/><c r="G76" s="221"/><c r="H76" s="221"/><c r="I76" s="221"/><c r="J76" s="221"/><c r="K76" s="331"/><c r="L76" s="331"/><c r="M76" s="331"/></row><row r="77" spans="2:13" s="33" customFormat="1" ht="30" x14ac:dyDescent="0.25"><c r="B77" s="35" t="str"><f>Translation!A191</f><v>Planeamento de infraestruturas energéticas</v></c><c r="C77" s="218"/><c r="D77" s="218"/><c r="E77" s="219"/><c r="F77" s="220"/><c r="G77" s="221"/><c r="H77" s="221"/><c r="I77" s="221"/><c r="J77" s="221"/><c r="K77" s="331"/><c r="L77" s="331"/><c r="M77" s="331"/></row><row r="78" spans="2:13" s="33" customFormat="1" ht="30" x14ac:dyDescent="0.25"><c r="B78" s="35" t="str"><f>Translation!A192</f><v>Planeamento territorial das energias renováveis</v></c><c r="C78" s="218"/><c r="D78" s="218"/><c r="E78" s="219"/><c r="F78" s="220"/><c r="G78" s="221"/><c r="H78" s="221"/><c r="I78" s="221"/><c r="J78" s="221"/><c r="K78" s="331"/><c r="L78" s="331"/><c r="M78" s="331"/></row><row r="79" spans="2:13" s="33" customFormat="1" ht="15" x14ac:dyDescent="0.25"><c r="B79" s="35" t="str"><f>Translation!A59</f><v>Acções gerais</v></c><c r="C79" s="218"/><c r="D79" s="218"/><c r="E79" s="219"/><c r="F79" s="220"/><c r="G79" s="221"/><c r="H79" s="221"/><c r="I79" s="221"/><c r="J79" s="221"/><c r="K79" s="331"/><c r="L79" s="331"/><c r="M79" s="331"/></row><row r="80" spans="2:13" s="33" customFormat="1" ht="7.5" customHeight="1" x14ac:dyDescent="0.25"><c r="B80" s="35"/><c r="C80" s="16"/><c r="D80" s="16"/><c r="E80" s="17"/><c r="F80" s="18"/><c r="G80" s="19"/><c r="H80" s="19"/><c r="I80" s="19"/><c r="J80" s="19"/><c r="K80" s="332"/><c r="L80" s="332"/><c r="M80" s="332"/></row><row r="81" spans="2:13" s="33" customFormat="1" ht="15" x14ac:dyDescent="0.25"><c r="B81" s="197" t="str"><f>Translation!A193</f><v>CONTRATOS PÚBLICOS DE EMPREITADAS, BENS E SERVIÇOS</v></c><c r="C81" s="198"/><c r="D81" s="198"/><c r="E81" s="199"/><c r="F81" s="199"/><c r="G81" s="200"/><c r="H81" s="200"/><c r="I81" s="200"/><c r="J81" s="200"/><c r="K81" s="200"/><c r="L81" s="200"/><c r="M81" s="200"/></row><row r="82" spans="2:13" s="33" customFormat="1" ht="30" x14ac:dyDescent="0.25"><c r="B82" s="35" t="str"><f>Translation!A194</f><v>Requisitos e standards para eficiência energética</v></c><c r="C82" s="218"/><c r="D82" s="218"/><c r="E82" s="219"/><c r="F82" s="220"/><c r="G82" s="221"/><c r="H82" s="221"/><c r="I82" s="221"/><c r="J82" s="221"/><c r="K82" s="330"><f>SUM(H82:H85)</f><v>0</v></c><c r="L82" s="330"><f t="shared" ref="L82:M82" si="7">SUM(I82:I85)</f><v>0</v></c><c r="M82" s="330"><f t="shared" si="7"/><v>0</v></c></row><row r="83" spans="2:13" s="33" customFormat="1" ht="30" x14ac:dyDescent="0.25"><c r="B83" s="35" t="str"><f>Translation!A195</f><v>Requisitos e standards para energias renováveis</v></c><c r="C83" s="218"/><c r="D83" s="218"/><c r="E83" s="219"/><c r="F83" s="220"/><c r="G83" s="221"/><c r="H83" s="221"/><c r="I83" s="221"/><c r="J83" s="221"/><c r="K83" s="331"/><c r="L83" s="331"/><c r="M83" s="331"/></row><row r="84" spans="2:13" s="33" customFormat="1" ht="15" x14ac:dyDescent="0.25"><c r="B84" s="35" t="str"><f>Translation!A59</f><v>Acções gerais</v></c><c r="C84" s="218"/><c r="D84" s="218"/><c r="E84" s="219"/><c r="F84" s="220"/><c r="G84" s="221"/><c r="H84" s="221"/><c r="I84" s="221"/><c r="J84" s="221"/><c r="K84" s="331"/><c r="L84" s="331"/><c r="M84" s="331"/></row><row r="85" spans="2:13" s="33" customFormat="1" ht="7.5" customHeight="1" x14ac:dyDescent="0.25"><c r="B85" s="35"/><c r="C85" s="16"/><c r="D85" s="16"/><c r="E85" s="17"/><c r="F85" s="18"/><c r="G85" s="19"/><c r="H85" s="19"/><c r="I85" s="19"/><c r="J85" s="19"/><c r="K85" s="332"/><c r="L85" s="332"/><c r="M85" s="332"/></row><row r="86" spans="2:13" s="33" customFormat="1" ht="15" x14ac:dyDescent="0.25"><c r="B86" s="197" t="str"><f>Translation!A196</f><v>CIDADÃOS E PARTES INTERESSADAS</v></c><c r="C86" s="198"/><c r="D86" s="198"/><c r="E86" s="199"/><c r="F86" s="199"/><c r="G86" s="200"/><c r="H86" s="200"/><c r="I86" s="200"/><c r="J86" s="200"/><c r="K86" s="200"/><c r="L86" s="200"/><c r="M86" s="200"/></row><row r="87" spans="2:13" s="33" customFormat="1" ht="15" x14ac:dyDescent="0.25"><c r="B87" s="35" t="str"><f>Translation!A197</f><v>Serviços de aconselhamento</v></c><c r="C87" s="218"/><c r="D87" s="218"/><c r="E87" s="219"/><c r="F87" s="220"/><c r="G87" s="221"/><c r="H87" s="221"/><c r="I87" s="221"/><c r="J87" s="221"/><c r="K87" s="330"><f>SUM(H87:H94)</f><v>0</v></c><c r="L87" s="330"><f t="shared" ref="L87:M87" si="8">SUM(I87:I94)</f><v>0</v></c><c r="M87" s="330"><f t="shared" si="8"/><v>0</v></c></row><row r="88" spans="2:13" s="33" customFormat="1" ht="15" x14ac:dyDescent="0.25"><c r="B88" s="35" t="str"><f>Translation!A198</f><v>Apoios financeiros e incentivos</v></c><c r="C88" s="218"/><c r="D88" s="218"/><c r="E88" s="219"/><c r="F88" s="220"/><c r="G88" s="221"/><c r="H88" s="221"/><c r="I88" s="221"/><c r="J88" s="221"/><c r="K88" s="331"/><c r="L88" s="331"/><c r="M88" s="331"/></row><row r="89" spans="2:13" s="33" customFormat="1" ht="15" x14ac:dyDescent="0.25"><c r="B89" s="35" t="str"><f>Translation!A199</f><v>Sensibilização e cooperação</v></c><c r="C89" s="218"/><c r="D89" s="218"/><c r="E89" s="219"/><c r="F89" s="220"/><c r="G89" s="221"/><c r="H89" s="221"/><c r="I89" s="221"/><c r="J89" s="221"/><c r="K89" s="331"/><c r="L89" s="331"/><c r="M89" s="331"/></row><row r="90" spans="2:13" s="33" customFormat="1" ht="15" x14ac:dyDescent="0.25"><c r="B90" s="35" t="str"><f>Translation!A200</f><v>Formação e educação</v></c><c r="C90" s="218"/><c r="D90" s="218"/><c r="E90" s="219"/><c r="F90" s="220"/><c r="G90" s="221"/><c r="H90" s="221"/><c r="I90" s="221"/><c r="J90" s="221"/><c r="K90" s="331"/><c r="L90" s="331"/><c r="M90" s="331"/></row><row r="91" spans="2:13" s="33" customFormat="1" ht="15" x14ac:dyDescent="0.25"><c r="B91" s="35" t="str"><f>Translation!A201</f><v>Monitorização</v></c><c r="C91" s="218"/><c r="D91" s="218"/><c r="E91" s="219"/><c r="F91" s="220"/><c r="G91" s="221"/><c r="H91" s="221"/><c r="I91" s="221"/><c r="J91" s="221"/><c r="K91" s="331"/><c r="L91" s="331"/><c r="M91" s="331"/></row><row r="92" spans="2:13" s="33" customFormat="1" ht="15" x14ac:dyDescent="0.25"><c r="B92" s="35" t="str"><f>Translation!A202</f><v>Regulamentação</v></c><c r="C92" s="218"/><c r="D92" s="218"/><c r="E92" s="219"/><c r="F92" s="220"/><c r="G92" s="221"/><c r="H92" s="221"/><c r="I92" s="221"/><c r="J92" s="221"/><c r="K92" s="331"/><c r="L92" s="331"/><c r="M92" s="331"/></row><row r="93" spans="2:13" s="33" customFormat="1" ht="15" x14ac:dyDescent="0.25"><c r="B93" s="35" t="str"><f>Translation!A59</f><v>Acções gerais</v></c><c r="C93" s="218"/><c r="D93" s="218"/><c r="E93" s="219"/><c r="F93" s="220"/><c r="G93" s="221"/><c r="H93" s="221"/><c r="I93" s="221"/><c r="J93" s="221"/><c r="K93" s="331"/><c r="L93" s="331"/><c r="M93" s="331"/></row><row r="94" spans="2:13" s="33" customFormat="1" ht="7.5" customHeight="1" x14ac:dyDescent="0.25"><c r="B94" s="35"/><c r="C94" s="16"/><c r="D94" s="16"/><c r="E94" s="17"/><c r="F94" s="18"/><c r="G94" s="19"/><c r="H94" s="19"/><c r="I94" s="19"/><c r="J94" s="19"/><c r="K94" s="332"/><c r="L94" s="332"/><c r="M94" s="332"/></row><row r="95" spans="2:13" s="33" customFormat="1" ht="15" x14ac:dyDescent="0.25"><c r="B95" s="197" t="str"><f>Translation!A203</f><v>OUTROS SECTORES (por favor, especificar)</v></c><c r="C95" s="198"/><c r="D95" s="198"/><c r="E95" s="199"/><c r="F95" s="199"/><c r="G95" s="200"/><c r="H95" s="200"/><c r="I95" s="200"/><c r="J95" s="200"/><c r="K95" s="200"/><c r="L95" s="200"/><c r="M95" s="200"/></row><row r="96" spans="2:13" s="33" customFormat="1" ht="15" x14ac:dyDescent="0.25"><c r="B96" s="155" t="str"><f>Translation!A204</f><v>…</v></c><c r="C96" s="218"/><c r="D96" s="218"/><c r="E96" s="219"/><c r="F96" s="220"/><c r="G96" s="221"/><c r="H96" s="221"/><c r="I96" s="221"/><c r="J96" s="221"/><c r="K96" s="330"><f>SUM(H96:H101)</f><v>0</v></c><c r="L96" s="330"><f>SUM(I96:I101)</f><v>0</v></c><c r="M96" s="330"><f>SUM(J96:J101)</f><v>0</v></c></row><row r="97" spans="1:13" s="33" customFormat="1" ht="15" x14ac:dyDescent="0.25"><c r="B97" s="155" t="str"><f>Translation!A205</f><v>…</v></c><c r="C97" s="218"/><c r="D97" s="218"/><c r="E97" s="219"/><c r="F97" s="220"/><c r="G97" s="221"/><c r="H97" s="221"/><c r="I97" s="221"/><c r="J97" s="221"/><c r="K97" s="331"/><c r="L97" s="331"/><c r="M97" s="331"/></row><row r="98" spans="1:13" s="33" customFormat="1" ht="15" x14ac:dyDescent="0.25"><c r="B98" s="155" t="str"><f>Translation!A206</f><v>…</v></c><c r="C98" s="218"/><c r="D98" s="218"/><c r="E98" s="219"/><c r="F98" s="220"/><c r="G98" s="221"/><c r="H98" s="221"/><c r="I98" s="221"/><c r="J98" s="221"/><c r="K98" s="331"/><c r="L98" s="331"/><c r="M98" s="331"/></row><row r="99" spans="1:13" s="33" customFormat="1" ht="15" x14ac:dyDescent="0.25"><c r="B99" s="155" t="str"><f>Translation!A207</f><v>…</v></c><c r="C99" s="218"/><c r="D99" s="218"/><c r="E99" s="219"/><c r="F99" s="220"/><c r="G99" s="221"/><c r="H99" s="221"/><c r="I99" s="221"/><c r="J99" s="221"/><c r="K99" s="331"/><c r="L99" s="331"/><c r="M99" s="331"/></row><row r="100" spans="1:13" s="33" customFormat="1" ht="15" x14ac:dyDescent="0.25"><c r="B100" s="155" t="str"><f>Translation!A208</f><v>…</v></c><c r="C100" s="218"/><c r="D100" s="218"/><c r="E100" s="219"/><c r="F100" s="220"/><c r="G100" s="221"/><c r="H100" s="221"/><c r="I100" s="221"/><c r="J100" s="221"/><c r="K100" s="331"/><c r="L100" s="331"/><c r="M100" s="331"/></row><row r="101" spans="1:13" s="33" customFormat="1" ht="7.5" customHeight="1" x14ac:dyDescent="0.25"><c r="B101" s="35"/><c r="C101" s="16"/><c r="D101" s="16"/><c r="E101" s="17"/><c r="F101" s="18"/><c r="G101" s="19"/><c r="H101" s="19"/><c r="I101" s="19"/><c r="J101" s="19"/><c r="K101" s="332"/><c r="L101" s="332"/><c r="M101" s="332"/></row><row r="102" spans="1:13" s="33" customFormat="1" ht="15" x14ac:dyDescent="0.25"><c r="B102" s="327" t="str"><f>Translation!A209</f><v>TOTAL</v></c><c r="C102" s="328"/><c r="D102" s="328"/><c r="E102" s="328"/><c r="F102" s="329"/><c r="G102" s="203"><f>SUM(G14:G100)</f><v>67695316</v></c><c r="H102" s="203"><f>SUM(H14:H100)</f><v>34916.683767199997</v></c><c r="I102" s="203"><f>SUM(I14:I100)</f><v>101942</v></c><c r="J102" s="203"><f>SUM(J14:J100)</f><v>64418.522274575997</v></c><c r="K102" s="36"><f>K14+K28+K33+K39+K50+K57+K75+K82+K87+K96</f><v>34916.683767199997</v></c><c r="L102" s="36"><f>L14+L28+L33+L39+L50+L57+L75+L82+L87+L96</f><v>101942</v></c><c r="M102" s="36"><f>M14+M28+M33+M39+M50+M57+M75+M82+M87+M96</f><v>64418.522274576004</v></c></row><row r="103" spans="1:13" ht="17.25" customHeight="1" x14ac:dyDescent="0.25"><c r="B103" s="37"/><c r="C103" s="38"/><c r="D103" s="39"/><c r="E103" s="40"/><c r="F103" s="41"/><c r="J103" s="42"/></row><row r="104" spans="1:13" s="101" customFormat="1" ht="36" x14ac:dyDescent="0.25"><c r="A104" s="100" t="s"><v>10</v></c><c r="B104" s="326" t="str"><f>Translation!A210</f><v>WEBSITE</v></c><c r="C104" s="326"/><c r="D104" s="326"/><c r="E104" s="326"/><c r="F104" s="326"/><c r="G104" s="326"/><c r="H104" s="326"/><c r="I104" s="326"/><c r="J104" s="326"/><c r="K104" s="326"/><c r="L104" s="326"/><c r="M104" s="326"/></row><row r="105" spans="1:13" ht="15.75" customHeight="1" x14ac:dyDescent="0.25"><c r="A105" s="43"/><c r="C105" s="44" t="str"><f>Translation!A211</f><v>Ligação para o website dedicado ao ISEAP (se existir)</v></c><c r="D105" s="323"/><c r="E105" s="324"/><c r="F105" s="324"/><c r="G105" s="324"/><c r="H105" s="325"/><c r="I105" s="26"/></row><row r="106" spans="1:13" ht="17.25" customHeight="1" x14ac:dyDescent="0.25"><c r="B106" s="37"/><c r="J106" s="42"/></row><row r="107" spans="1:13" ht="12.75" customHeight="1" x14ac:dyDescent="0.25"><c r="B107" s="271" t="str"><f>Translation!$A$212</f><v>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v></c><c r="C107" s="271"/><c r="D107" s="271"/><c r="E107" s="271"/><c r="F107" s="271"/><c r="G107" s="271"/><c r="H107" s="271"/><c r="I107" s="271"/><c r="J107" s="271"/><c r="K107" s="271"/><c r="L107" s="271"/><c r="M107" s="271"/></row><row r="108" spans="1:13" x14ac:dyDescent="0.25"><c r="B108" s="271"/><c r="C108" s="271"/><c r="D108" s="271"/><c r="E108" s="271"/><c r="F108" s="271"/><c r="G108" s="271"/><c r="H108" s="271"/><c r="I108" s="271"/><c r="J108" s="271"/><c r="K108" s="271"/><c r="L108" s="271"/><c r="M108" s="271"/></row><row r="109" spans="1:13" x14ac:dyDescent="0.25"><c r="B109" s="271"/><c r="C109" s="271"/><c r="D109" s="271"/><c r="E109" s="271"/><c r="F109" s="271"/><c r="G109" s="271"/><c r="H109" s="271"/><c r="I109" s="271"/><c r="J109" s="271"/><c r="K109" s="271"/><c r="L109" s="271"/><c r="M109" s="271"/></row></sheetData><mergeCells count="55"><mergeCell ref="M75:M80"/><mergeCell ref="K57:K73"/><mergeCell ref="L57:L73"/><mergeCell ref="M57:M73"/><mergeCell ref="K75:K80"/><mergeCell ref="K50:K55"/><mergeCell ref="L50:L55"/><mergeCell ref="M50:M55"/><mergeCell ref="K39:K48"/><mergeCell ref="L39:L48"/><mergeCell ref="M39:M48"/><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33:K37"/><mergeCell ref="L33:L37"/><mergeCell ref="M33:M37"/><mergeCell ref="K28:K31"/><mergeCell ref="L28:L31"/><mergeCell ref="M28:M31"/><mergeCell ref="K14:K26"/><mergeCell ref="L14:L26"/><mergeCell ref="M14:M26"/><mergeCell ref="B14:B16"/><mergeCell ref="B64:B65"/><mergeCell ref="B61:B62"/><mergeCell ref="B107:M109"/><mergeCell ref="D105:H105"/><mergeCell ref="B104:M104"/><mergeCell ref="B102:F102"/><mergeCell ref="K82:K85"/><mergeCell ref="L82:L85"/><mergeCell ref="M82:M85"/><mergeCell ref="K87:K94"/><mergeCell ref="L87:L94"/><mergeCell ref="M87:M94"/><mergeCell ref="K96:K101"/><mergeCell ref="L96:L101"/><mergeCell ref="M96:M101"/><mergeCell ref="L75:L80"/></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B086EE8C-F675-4FC0-AF03-2BA65D81C6CA}" xmlns:ds="http://schemas.openxmlformats.org/officeDocument/2006/customXml"/>
</file>

<file path=customXml/itemProps2.xml><?xml version="1.0" encoding="UTF-8" standalone="no"?>
<ds:datastoreItem ds:itemID_"{28DA3952-9DE6-4A75-876B-F582E6087A4A}" xmlns:ds="http://schemas.openxmlformats.org/officeDocument/2006/customXml"/>
</file>

<file path=customXml/itemProps3.xml><?xml version="1.0" encoding="UTF-8" standalone="no"?>
<ds:datastoreItem ds:itemID_"{D72E6DBB-7639-4A08-9DA2-648DC58B7D61}"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MM. Oliveira</dc:creator>
  <cp:lastModifiedBy>José MM. Oliveira</cp:lastModifiedBy>
  <cp:lastPrinted>2011-12-08T15:15:54Z</cp:lastPrinted>
  <dcterms:created xsi:type="dcterms:W3CDTF">2011-03-07T15:38:06Z</dcterms:created>
  <dcterms:modified xsi:type="dcterms:W3CDTF">2012-03-30T18:14:20Z</dcterms:modified>
</cp:coreProperties>
</file>